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Y:\Planificacion\UPI 2019\ACTIVIDADES UPI 2019\Reunión Balance Anual 2018\"/>
    </mc:Choice>
  </mc:AlternateContent>
  <xr:revisionPtr revIDLastSave="0" documentId="13_ncr:1_{04F3BF09-2E0C-4374-9B4A-8A4505C73579}" xr6:coauthVersionLast="36" xr6:coauthVersionMax="36" xr10:uidLastSave="{00000000-0000-0000-0000-000000000000}"/>
  <bookViews>
    <workbookView xWindow="0" yWindow="0" windowWidth="24000" windowHeight="9525" firstSheet="3" activeTab="3" xr2:uid="{00000000-000D-0000-FFFF-FFFF00000000}"/>
  </bookViews>
  <sheets>
    <sheet name="COMPARATIVO PROG. ADM." sheetId="4" state="hidden" r:id="rId1"/>
    <sheet name="SÍNTESIS ESTRATÉGICA 2019-2030 " sheetId="23" r:id="rId2"/>
    <sheet name="AUNTONOMÍA ECONÓMICA" sheetId="6" r:id="rId3"/>
    <sheet name="SERV-PUB PROT DDHH" sheetId="8" r:id="rId4"/>
    <sheet name="LIDERAZGO PARTIC POL" sheetId="9" r:id="rId5"/>
    <sheet name="CORRESPONSAB-SSSR" sheetId="10" r:id="rId6"/>
    <sheet name="GENERAC CONCOC." sheetId="5" r:id="rId7"/>
    <sheet name="VcM" sheetId="12" r:id="rId8"/>
    <sheet name="COMPARATIVO PROG. TECNICO" sheetId="1" state="hidden" r:id="rId9"/>
    <sheet name="INAMU-MEC RECTOR" sheetId="21" r:id="rId10"/>
    <sheet name="COMPRAS Y SIMPLIFICACIÓN TRÁM" sheetId="13" r:id="rId11"/>
    <sheet name="PLANIFICACIÓN" sheetId="15" r:id="rId12"/>
    <sheet name="PROTOCOLO ATENCIÓN" sheetId="14" r:id="rId13"/>
    <sheet name="FOMUJER" sheetId="16" r:id="rId14"/>
    <sheet name="RECURSOS HUMANOS" sheetId="17" r:id="rId15"/>
    <sheet name="TI" sheetId="18" r:id="rId16"/>
    <sheet name="INFRAESTRUCTURA" sheetId="19" r:id="rId17"/>
    <sheet name="FINANCIERO CONTABLE" sheetId="20" r:id="rId18"/>
    <sheet name="SINTESIS ESTRATÉGICA 2019-2030" sheetId="22" r:id="rId19"/>
  </sheets>
  <externalReferences>
    <externalReference r:id="rId20"/>
  </externalReferences>
  <definedNames>
    <definedName name="_1.1">#REF!</definedName>
    <definedName name="_1.2">#REF!</definedName>
    <definedName name="_10.1">#REF!</definedName>
    <definedName name="_11.1">#REF!</definedName>
    <definedName name="_2.1">#REF!</definedName>
    <definedName name="_2.2">#REF!</definedName>
    <definedName name="_3.1">#REF!</definedName>
    <definedName name="_3.2">#REF!</definedName>
    <definedName name="_3.3">#REF!</definedName>
    <definedName name="_4.1">#REF!</definedName>
    <definedName name="_5.1">#REF!</definedName>
    <definedName name="_5.2">#REF!</definedName>
    <definedName name="_6.1">#REF!</definedName>
    <definedName name="_6.2">#REF!</definedName>
    <definedName name="_7.1">#REF!</definedName>
    <definedName name="_7.2">#REF!</definedName>
    <definedName name="_7.3">#REF!</definedName>
    <definedName name="_7.4">#REF!</definedName>
    <definedName name="_8.1">#REF!</definedName>
    <definedName name="_8.2">#REF!</definedName>
    <definedName name="_9.1">#REF!</definedName>
    <definedName name="_xlnm._FilterDatabase" localSheetId="8" hidden="1">'COMPARATIVO PROG. TECNICO'!$B$9:$AH$32</definedName>
    <definedName name="_xlnm._FilterDatabase" localSheetId="10" hidden="1">'COMPRAS Y SIMPLIFICACIÓN TRÁM'!$3:$3</definedName>
    <definedName name="_xlnm._FilterDatabase" localSheetId="11" hidden="1">PLANIFICACIÓN!$3:$3</definedName>
    <definedName name="_xlnm._FilterDatabase" localSheetId="1" hidden="1">'SÍNTESIS ESTRATÉGICA 2019-2030 '!$A$2:$E$77</definedName>
    <definedName name="_PND1">#REF!</definedName>
    <definedName name="_PND2">#REF!</definedName>
    <definedName name="_xlnm.Print_Area" localSheetId="8">'COMPARATIVO PROG. TECNICO'!$A$1:$AI$32</definedName>
    <definedName name="_xlnm.Print_Area" localSheetId="1">'SÍNTESIS ESTRATÉGICA 2019-2030 '!$A$1:$E$74</definedName>
    <definedName name="CUADROPEI">#REF!</definedName>
    <definedName name="Objetivo_1">#REF!</definedName>
    <definedName name="Objetivo_10">#REF!</definedName>
    <definedName name="Objetivo_11">#REF!</definedName>
    <definedName name="Objetivo_2">#REF!</definedName>
    <definedName name="Objetivo_3">#REF!</definedName>
    <definedName name="Objetivo_4">#REF!</definedName>
    <definedName name="Objetivo_5">#REF!</definedName>
    <definedName name="Objetivo_6">#REF!</definedName>
    <definedName name="Objetivo_7">#REF!</definedName>
    <definedName name="Objetivo_8">#REF!</definedName>
    <definedName name="Objetivo_9">#REF!</definedName>
    <definedName name="P_1">#REF!</definedName>
    <definedName name="P_10">#REF!</definedName>
    <definedName name="P_11">#REF!</definedName>
    <definedName name="P_12">#REF!</definedName>
    <definedName name="P_2">#REF!</definedName>
    <definedName name="P_3">#REF!</definedName>
    <definedName name="P_4">#REF!</definedName>
    <definedName name="P_5">#REF!</definedName>
    <definedName name="P_6">#REF!</definedName>
    <definedName name="P_7">#REF!</definedName>
    <definedName name="P_8">#REF!</definedName>
    <definedName name="P_9">#REF!</definedName>
    <definedName name="PROG_OBJ">#REF!</definedName>
    <definedName name="PROG_SP">#REF!</definedName>
    <definedName name="PROGSCODS">#REF!</definedName>
    <definedName name="RRR">#REF!</definedName>
    <definedName name="RRRR">#REF!</definedName>
    <definedName name="SUBPROGRAMA">#REF!</definedName>
    <definedName name="SUBPROGRAMAPRES">#REF!</definedName>
    <definedName name="_xlnm.Print_Titles" localSheetId="8">'COMPARATIVO PROG. TECNICO'!$7:$9</definedName>
    <definedName name="_xlnm.Print_Titles" localSheetId="1">'SÍNTESIS ESTRATÉGICA 2019-2030 '!$1:$2</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E4" i="8" l="1"/>
  <c r="U4" i="13"/>
  <c r="AF5" i="21"/>
  <c r="AE5" i="21"/>
  <c r="AF4" i="21"/>
  <c r="AE4" i="21"/>
  <c r="AF4" i="12"/>
  <c r="AE4" i="12"/>
  <c r="AB4" i="12"/>
  <c r="AC4" i="12"/>
  <c r="AC5" i="12"/>
  <c r="AF7" i="12"/>
  <c r="AE7" i="12"/>
  <c r="AF6" i="12"/>
  <c r="AE6" i="12"/>
  <c r="AE9" i="12"/>
  <c r="AF9" i="12"/>
  <c r="AG9" i="12" s="1"/>
  <c r="AF5" i="12"/>
  <c r="AE5" i="12"/>
  <c r="AC6" i="12"/>
  <c r="AC7" i="12"/>
  <c r="AD9" i="12"/>
  <c r="AB7" i="12"/>
  <c r="AB8" i="12"/>
  <c r="AD8" i="12" s="1"/>
  <c r="AB6" i="12"/>
  <c r="AB5" i="12"/>
  <c r="AI4" i="5"/>
  <c r="AH4" i="5"/>
  <c r="AG4" i="5"/>
  <c r="AF4" i="5"/>
  <c r="AE4" i="5"/>
  <c r="AD4" i="5"/>
  <c r="AH5" i="6"/>
  <c r="AH6" i="6"/>
  <c r="AH7" i="6"/>
  <c r="AH8" i="6"/>
  <c r="AH9" i="6"/>
  <c r="AH10" i="6"/>
  <c r="AH4" i="6"/>
  <c r="AE4" i="6"/>
  <c r="AE7" i="6"/>
  <c r="AE8" i="6"/>
  <c r="AE9" i="6"/>
  <c r="AE10" i="6"/>
  <c r="AE6" i="6"/>
  <c r="AH5" i="8"/>
  <c r="AH6" i="8"/>
  <c r="AH7" i="8"/>
  <c r="AH8" i="8"/>
  <c r="AH4" i="8"/>
  <c r="AK4" i="9"/>
  <c r="AK5" i="9"/>
  <c r="AH5" i="9"/>
  <c r="AH4" i="10"/>
  <c r="AK4" i="10"/>
  <c r="AJ4" i="10"/>
  <c r="AI4" i="10"/>
  <c r="AG4" i="10"/>
  <c r="AF4" i="10"/>
  <c r="AI5" i="9"/>
  <c r="AJ5" i="9"/>
  <c r="AJ4" i="9"/>
  <c r="AI4" i="9"/>
  <c r="AG5" i="9"/>
  <c r="AG4" i="9"/>
  <c r="AF5" i="9"/>
  <c r="AF4" i="9"/>
  <c r="AF8" i="8"/>
  <c r="AG8" i="8"/>
  <c r="AG7" i="8"/>
  <c r="AF7" i="8"/>
  <c r="AF5" i="8"/>
  <c r="AG5" i="8"/>
  <c r="AF6" i="8"/>
  <c r="AG6" i="8"/>
  <c r="AG4" i="8"/>
  <c r="AF4" i="8"/>
  <c r="Y9" i="8"/>
  <c r="S9" i="8"/>
  <c r="M9" i="8"/>
  <c r="G9" i="8"/>
  <c r="AD8" i="8"/>
  <c r="AC8" i="8"/>
  <c r="AD7" i="8"/>
  <c r="AC7" i="8"/>
  <c r="AD4" i="8"/>
  <c r="G6" i="8"/>
  <c r="M6" i="8"/>
  <c r="AE6" i="8" s="1"/>
  <c r="P6" i="8"/>
  <c r="V6" i="8"/>
  <c r="AF5" i="6"/>
  <c r="AG5" i="6"/>
  <c r="AF6" i="6"/>
  <c r="AG6" i="6"/>
  <c r="AF7" i="6"/>
  <c r="AG7" i="6"/>
  <c r="AF8" i="6"/>
  <c r="AG8" i="6"/>
  <c r="AF9" i="6"/>
  <c r="AG9" i="6"/>
  <c r="AF10" i="6"/>
  <c r="AG10" i="6"/>
  <c r="AG4" i="6"/>
  <c r="AF4" i="6"/>
  <c r="AD6" i="6"/>
  <c r="AD8" i="6"/>
  <c r="AD9" i="6"/>
  <c r="AD10" i="6"/>
  <c r="AD4" i="6"/>
  <c r="AC6" i="6"/>
  <c r="AC8" i="6"/>
  <c r="AC9" i="6"/>
  <c r="AC10" i="6"/>
  <c r="AC4" i="6"/>
  <c r="AG5" i="21" l="1"/>
  <c r="AG6" i="12"/>
  <c r="AG7" i="12"/>
  <c r="AG5" i="12"/>
  <c r="AD5" i="12"/>
  <c r="AD7" i="12"/>
  <c r="AD6" i="12"/>
  <c r="AE9" i="8"/>
  <c r="E4" i="23"/>
  <c r="E7" i="23"/>
  <c r="E75" i="23" s="1"/>
  <c r="E77" i="23" s="1"/>
  <c r="E17" i="23"/>
  <c r="E27" i="23"/>
  <c r="U4" i="21" l="1"/>
  <c r="AG4" i="21" s="1"/>
  <c r="R4" i="21"/>
  <c r="O4" i="21"/>
  <c r="L4" i="21"/>
  <c r="F4" i="21"/>
  <c r="H27" i="1"/>
  <c r="V27" i="1"/>
  <c r="V4" i="20" l="1"/>
  <c r="U4" i="20"/>
  <c r="N4" i="20"/>
  <c r="H4" i="20"/>
  <c r="V5" i="19"/>
  <c r="U5" i="19"/>
  <c r="H5" i="19"/>
  <c r="V4" i="19"/>
  <c r="U4" i="19"/>
  <c r="N4" i="19"/>
  <c r="H4" i="19"/>
  <c r="V4" i="18"/>
  <c r="U4" i="18"/>
  <c r="N4" i="18"/>
  <c r="H4" i="18"/>
  <c r="E4" i="18"/>
  <c r="D4" i="18"/>
  <c r="V6" i="17"/>
  <c r="U6" i="17"/>
  <c r="H6" i="17"/>
  <c r="E6" i="17"/>
  <c r="V5" i="17"/>
  <c r="U5" i="17"/>
  <c r="K5" i="17"/>
  <c r="H5" i="17"/>
  <c r="E5" i="17"/>
  <c r="V4" i="17"/>
  <c r="U4" i="17"/>
  <c r="T4" i="17"/>
  <c r="N4" i="17"/>
  <c r="K4" i="17"/>
  <c r="H4" i="17"/>
  <c r="E4" i="17"/>
  <c r="V4" i="16"/>
  <c r="U4" i="16"/>
  <c r="V4" i="14"/>
  <c r="U4" i="14"/>
  <c r="V5" i="15"/>
  <c r="U5" i="15"/>
  <c r="V4" i="15"/>
  <c r="U4" i="15"/>
  <c r="T4" i="15"/>
  <c r="N4" i="15"/>
  <c r="H4" i="15"/>
  <c r="Z5" i="13"/>
  <c r="W5" i="13"/>
  <c r="Z4" i="13"/>
  <c r="W4" i="13"/>
  <c r="T4" i="13"/>
  <c r="N4" i="13"/>
  <c r="H4" i="13"/>
  <c r="X33" i="1"/>
  <c r="W33" i="1"/>
  <c r="AH31" i="1"/>
  <c r="AG31" i="1"/>
  <c r="Y31" i="1"/>
  <c r="V31" i="1"/>
  <c r="R31" i="1"/>
  <c r="O31" i="1"/>
  <c r="K31" i="1"/>
  <c r="H31" i="1"/>
  <c r="AJ30" i="1"/>
  <c r="AH30" i="1"/>
  <c r="AG30" i="1"/>
  <c r="Y30" i="1"/>
  <c r="V30" i="1"/>
  <c r="R30" i="1"/>
  <c r="O30" i="1"/>
  <c r="K30" i="1"/>
  <c r="H30" i="1"/>
  <c r="AH29" i="1"/>
  <c r="AG29" i="1"/>
  <c r="Y29" i="1"/>
  <c r="R29" i="1"/>
  <c r="O29" i="1"/>
  <c r="H29" i="1"/>
  <c r="AH28" i="1"/>
  <c r="Y28" i="1"/>
  <c r="R28" i="1"/>
  <c r="O28" i="1"/>
  <c r="K28" i="1"/>
  <c r="H28" i="1"/>
  <c r="AH27" i="1"/>
  <c r="AG27" i="1"/>
  <c r="Y27" i="1"/>
  <c r="R27" i="1"/>
  <c r="O27" i="1"/>
  <c r="AH26" i="1"/>
  <c r="AG26" i="1"/>
  <c r="Y26" i="1"/>
  <c r="V26" i="1"/>
  <c r="R26" i="1"/>
  <c r="K26" i="1"/>
  <c r="H26" i="1"/>
  <c r="AH25" i="1"/>
  <c r="AG25" i="1"/>
  <c r="Y25" i="1"/>
  <c r="R25" i="1"/>
  <c r="O25" i="1"/>
  <c r="H25" i="1"/>
  <c r="AH24" i="1"/>
  <c r="AG24" i="1"/>
  <c r="Y24" i="1"/>
  <c r="V24" i="1"/>
  <c r="R24" i="1"/>
  <c r="O24" i="1"/>
  <c r="K24" i="1"/>
  <c r="H24" i="1"/>
  <c r="AH23" i="1"/>
  <c r="AG23" i="1"/>
  <c r="Y23" i="1"/>
  <c r="V23" i="1"/>
  <c r="R23" i="1"/>
  <c r="O23" i="1"/>
  <c r="K23" i="1"/>
  <c r="H23" i="1"/>
  <c r="AH22" i="1"/>
  <c r="AG22" i="1"/>
  <c r="Y22" i="1"/>
  <c r="V22" i="1"/>
  <c r="R22" i="1"/>
  <c r="V21" i="1"/>
  <c r="AH20" i="1"/>
  <c r="AG20" i="1"/>
  <c r="Y20" i="1"/>
  <c r="V20" i="1"/>
  <c r="R20" i="1"/>
  <c r="O20" i="1"/>
  <c r="H20" i="1"/>
  <c r="AH19" i="1"/>
  <c r="AG19" i="1"/>
  <c r="Y19" i="1"/>
  <c r="V19" i="1"/>
  <c r="R19" i="1"/>
  <c r="O19" i="1"/>
  <c r="H19" i="1"/>
  <c r="AH18" i="1"/>
  <c r="AG18" i="1"/>
  <c r="Y18" i="1"/>
  <c r="V18" i="1"/>
  <c r="R18" i="1"/>
  <c r="O18" i="1"/>
  <c r="K18" i="1"/>
  <c r="H18" i="1"/>
  <c r="AH17" i="1"/>
  <c r="AG17" i="1"/>
  <c r="Y17" i="1"/>
  <c r="V17" i="1"/>
  <c r="R17" i="1"/>
  <c r="O17" i="1"/>
  <c r="H17" i="1"/>
  <c r="AH16" i="1"/>
  <c r="AG16" i="1"/>
  <c r="Y16" i="1"/>
  <c r="V16" i="1"/>
  <c r="R16" i="1"/>
  <c r="O16" i="1"/>
  <c r="K16" i="1"/>
  <c r="H16" i="1"/>
  <c r="AK15" i="1"/>
  <c r="AH15" i="1"/>
  <c r="AG15" i="1"/>
  <c r="Y15" i="1"/>
  <c r="V15" i="1"/>
  <c r="R15" i="1"/>
  <c r="O15" i="1"/>
  <c r="K15" i="1"/>
  <c r="H15" i="1"/>
  <c r="AH14" i="1"/>
  <c r="AG14" i="1"/>
  <c r="Y14" i="1"/>
  <c r="V14" i="1"/>
  <c r="R14" i="1"/>
  <c r="O14" i="1"/>
  <c r="K14" i="1"/>
  <c r="H14" i="1"/>
  <c r="AH13" i="1"/>
  <c r="AG13" i="1"/>
  <c r="Y13" i="1"/>
  <c r="V13" i="1"/>
  <c r="R13" i="1"/>
  <c r="O13" i="1"/>
  <c r="K13" i="1"/>
  <c r="H13" i="1"/>
  <c r="AH12" i="1"/>
  <c r="AG12" i="1"/>
  <c r="Y12" i="1"/>
  <c r="V12" i="1"/>
  <c r="R12" i="1"/>
  <c r="O12" i="1"/>
  <c r="K12" i="1"/>
  <c r="H12" i="1"/>
  <c r="AH10" i="1"/>
  <c r="AG10" i="1"/>
  <c r="Y10" i="1"/>
  <c r="V10" i="1"/>
  <c r="R10" i="1"/>
  <c r="O10" i="1"/>
  <c r="K10" i="1"/>
  <c r="H10" i="1"/>
  <c r="H5" i="1"/>
  <c r="U9" i="12"/>
  <c r="O9" i="12"/>
  <c r="L9" i="12"/>
  <c r="F9" i="12"/>
  <c r="X7" i="12"/>
  <c r="U7" i="12"/>
  <c r="R7" i="12"/>
  <c r="O7" i="12"/>
  <c r="L7" i="12"/>
  <c r="F7" i="12"/>
  <c r="U6" i="12"/>
  <c r="R6" i="12"/>
  <c r="O6" i="12"/>
  <c r="L6" i="12"/>
  <c r="F6" i="12"/>
  <c r="U5" i="12"/>
  <c r="R5" i="12"/>
  <c r="O5" i="12"/>
  <c r="L5" i="12"/>
  <c r="I5" i="12"/>
  <c r="F5" i="12"/>
  <c r="U4" i="12"/>
  <c r="R4" i="12"/>
  <c r="O4" i="12"/>
  <c r="L4" i="12"/>
  <c r="F4" i="12"/>
  <c r="V4" i="5"/>
  <c r="S4" i="5"/>
  <c r="P4" i="5"/>
  <c r="M4" i="5"/>
  <c r="J4" i="5"/>
  <c r="G4" i="5"/>
  <c r="X4" i="10"/>
  <c r="U4" i="10"/>
  <c r="Q4" i="10"/>
  <c r="N4" i="10"/>
  <c r="J4" i="10"/>
  <c r="G4" i="10"/>
  <c r="X5" i="9"/>
  <c r="U5" i="9"/>
  <c r="Q5" i="9"/>
  <c r="N5" i="9"/>
  <c r="J5" i="9"/>
  <c r="G5" i="9"/>
  <c r="AN4" i="9"/>
  <c r="X4" i="9"/>
  <c r="U4" i="9"/>
  <c r="Q4" i="9"/>
  <c r="N4" i="9"/>
  <c r="J4" i="9"/>
  <c r="G4" i="9"/>
  <c r="AH4" i="9" s="1"/>
  <c r="V8" i="8"/>
  <c r="S8" i="8"/>
  <c r="P8" i="8"/>
  <c r="M8" i="8"/>
  <c r="J8" i="8"/>
  <c r="G8" i="8"/>
  <c r="AJ7" i="8"/>
  <c r="V7" i="8"/>
  <c r="S7" i="8"/>
  <c r="P7" i="8"/>
  <c r="M7" i="8"/>
  <c r="J7" i="8"/>
  <c r="G7" i="8"/>
  <c r="V4" i="8"/>
  <c r="S4" i="8"/>
  <c r="P4" i="8"/>
  <c r="V10" i="6"/>
  <c r="S10" i="6"/>
  <c r="P10" i="6"/>
  <c r="I10" i="6"/>
  <c r="F10" i="6"/>
  <c r="V9" i="6"/>
  <c r="S9" i="6"/>
  <c r="P9" i="6"/>
  <c r="M9" i="6"/>
  <c r="I9" i="6"/>
  <c r="F9" i="6"/>
  <c r="V8" i="6"/>
  <c r="S8" i="6"/>
  <c r="P8" i="6"/>
  <c r="M8" i="6"/>
  <c r="I8" i="6"/>
  <c r="F8" i="6"/>
  <c r="V6" i="6"/>
  <c r="S6" i="6"/>
  <c r="P6" i="6"/>
  <c r="M6" i="6"/>
  <c r="I6" i="6"/>
  <c r="F6" i="6"/>
  <c r="V4" i="6"/>
  <c r="S4" i="6"/>
  <c r="P4" i="6"/>
  <c r="M4" i="6"/>
  <c r="I4" i="6"/>
  <c r="F4" i="6"/>
  <c r="V19" i="4"/>
  <c r="N19" i="4"/>
  <c r="H19" i="4"/>
  <c r="V18" i="4"/>
  <c r="H18" i="4"/>
  <c r="V17" i="4"/>
  <c r="N17" i="4"/>
  <c r="H17" i="4"/>
  <c r="V16" i="4"/>
  <c r="N16" i="4"/>
  <c r="H16" i="4"/>
  <c r="E16" i="4"/>
  <c r="D16" i="4"/>
  <c r="V15" i="4"/>
  <c r="H15" i="4"/>
  <c r="E15" i="4"/>
  <c r="V14" i="4"/>
  <c r="K14" i="4"/>
  <c r="H14" i="4"/>
  <c r="E14" i="4"/>
  <c r="V13" i="4"/>
  <c r="T13" i="4"/>
  <c r="N13" i="4"/>
  <c r="K13" i="4"/>
  <c r="H13" i="4"/>
  <c r="E13" i="4"/>
  <c r="V12" i="4"/>
  <c r="V11" i="4"/>
  <c r="V10" i="4"/>
  <c r="V9" i="4"/>
  <c r="T9" i="4"/>
  <c r="N9" i="4"/>
  <c r="H9" i="4"/>
  <c r="V8" i="4"/>
  <c r="U8" i="4"/>
  <c r="V7" i="4"/>
  <c r="U7" i="4"/>
  <c r="T7" i="4"/>
  <c r="N7" i="4"/>
  <c r="H7" i="4"/>
  <c r="AG4" i="12" l="1"/>
  <c r="AD4" i="12"/>
  <c r="AE8" i="8"/>
  <c r="AE7" i="8"/>
</calcChain>
</file>

<file path=xl/sharedStrings.xml><?xml version="1.0" encoding="utf-8"?>
<sst xmlns="http://schemas.openxmlformats.org/spreadsheetml/2006/main" count="1309" uniqueCount="336">
  <si>
    <t>CUADRO 2.2</t>
  </si>
  <si>
    <t>CUADRO 2.2.  INSTITUTO NACIONAL DE LAS MUJERES -INAMU-</t>
  </si>
  <si>
    <t xml:space="preserve">PROGRAMA: TÉCNICO </t>
  </si>
  <si>
    <t>Cumplimiento de indicadores de desempeño, estimación de recursos asociados y efectividad.</t>
  </si>
  <si>
    <t>EFECTIVIDAD</t>
  </si>
  <si>
    <t>Línea Base</t>
  </si>
  <si>
    <t xml:space="preserve">META </t>
  </si>
  <si>
    <t>RECURSOS</t>
  </si>
  <si>
    <t>PONDERADO</t>
  </si>
  <si>
    <t>SECTOR</t>
  </si>
  <si>
    <t xml:space="preserve">PRODUCTO </t>
  </si>
  <si>
    <t>INDICADOR</t>
  </si>
  <si>
    <t>Programada</t>
  </si>
  <si>
    <t>Alcanzada</t>
  </si>
  <si>
    <t>Porcentaje alcanzado</t>
  </si>
  <si>
    <t>Programados b/</t>
  </si>
  <si>
    <t>Ejecutados</t>
  </si>
  <si>
    <t>% ejec</t>
  </si>
  <si>
    <t>PRG</t>
  </si>
  <si>
    <t>¢</t>
  </si>
  <si>
    <t>DHIS</t>
  </si>
  <si>
    <t>PD</t>
  </si>
  <si>
    <t>Cantidad de personas que participan en Foros, seminarios, debates, ferias de derechos y otras acciones de difusión abierta sobre derechos de las mujeres y la  igualdad</t>
  </si>
  <si>
    <t xml:space="preserve">Comentario: indica que dpto. XX suministra línea base de ferias u otros eventos, colaboran todas las áreas.
</t>
  </si>
  <si>
    <t xml:space="preserve">8875
LB 2015
</t>
  </si>
  <si>
    <r>
      <rPr>
        <sz val="12"/>
        <rFont val="Arial"/>
        <family val="2"/>
      </rPr>
      <t>8 800</t>
    </r>
    <r>
      <rPr>
        <sz val="12"/>
        <color theme="1"/>
        <rFont val="Arial"/>
        <family val="2"/>
      </rPr>
      <t xml:space="preserve">
</t>
    </r>
  </si>
  <si>
    <t xml:space="preserve">14 017
</t>
  </si>
  <si>
    <t>2550 R.Central
1250 R.Brunca
1250 R.Chorote
1250 R.Caribe
1250 R.Norte
1250 R.Pacífico</t>
  </si>
  <si>
    <t>7910
230
1029
890
1128
650</t>
  </si>
  <si>
    <t>383,4
21,2
94,7
81,9
90,0
58,9</t>
  </si>
  <si>
    <t>2550 R.Central
1250 R.Brunca
1250 R.Chorotega
1250 R.Caribe
1250 R.Norte
1250 R.Pacífico</t>
  </si>
  <si>
    <t>6491
770
3392
1977
581
806</t>
  </si>
  <si>
    <t>255%
62%
271%
158%
46%
64%</t>
  </si>
  <si>
    <t>CM</t>
  </si>
  <si>
    <t xml:space="preserve">Cantidad  de mujeres asesoradas emprendedurismo y empresariedad </t>
  </si>
  <si>
    <t>312
(2014)</t>
  </si>
  <si>
    <r>
      <t>1000</t>
    </r>
    <r>
      <rPr>
        <b/>
        <sz val="12"/>
        <color theme="1"/>
        <rFont val="Arial"/>
        <family val="2"/>
      </rPr>
      <t>a/</t>
    </r>
  </si>
  <si>
    <r>
      <rPr>
        <b/>
        <sz val="12"/>
        <color theme="1"/>
        <rFont val="Arial"/>
        <family val="2"/>
      </rPr>
      <t>2431</t>
    </r>
    <r>
      <rPr>
        <sz val="12"/>
        <color theme="1"/>
        <rFont val="Arial"/>
        <family val="2"/>
      </rPr>
      <t xml:space="preserve">
946: RegCentral
641: R. Brunca
290: R. Chorotega
257: R. Caribe
198: R. Norte
99: R. Pacífico
 </t>
    </r>
  </si>
  <si>
    <t>Cantidad de mujeres capacitadas en Formación Humana</t>
  </si>
  <si>
    <t>1620
(referidas a FOMUJER)</t>
  </si>
  <si>
    <t>POI
2015</t>
  </si>
  <si>
    <t>1620
(400 referidas FOMUJER)</t>
  </si>
  <si>
    <t>14 391
3 863: Reg Central
2 102: R. Brunca
2 301: R. Chorotega
2 115: R. Caribe
2 044: R. Norte
1 966: R. Pacífico</t>
  </si>
  <si>
    <t>Cantidad de mujeres capacitadas en salud sexual y reproductiva, según edad y grupo poblacional priorizado, en relación con la lìnea base 2014</t>
  </si>
  <si>
    <t>Comentario: 
Área Construcción de identidades suministra Línea base 2014</t>
  </si>
  <si>
    <t xml:space="preserve">Comentario: 
Construcción de identidades suminstra línea base </t>
  </si>
  <si>
    <r>
      <rPr>
        <b/>
        <sz val="12"/>
        <color theme="1"/>
        <rFont val="Arial"/>
        <family val="2"/>
      </rPr>
      <t xml:space="preserve">15 191
</t>
    </r>
    <r>
      <rPr>
        <sz val="12"/>
        <color theme="1"/>
        <rFont val="Arial"/>
        <family val="2"/>
      </rPr>
      <t xml:space="preserve">
14 391 (Población
PAM módulo
especial) + 800
4 463: R. Central
2 102: R. Brunca
2 301: R. Chorotega
2 315: R. Caribe
2 044: R. Norte
1 966: R. Pacífico</t>
    </r>
  </si>
  <si>
    <t xml:space="preserve"> Cantidad de mujeres capacitadas para ejercer una participactión politíca género sensitiva en distintas instancias de participación, según región y en comparación con la línea base 2014 .</t>
  </si>
  <si>
    <t>Ciudadanía da la línea base 2013-14</t>
  </si>
  <si>
    <r>
      <rPr>
        <b/>
        <sz val="12"/>
        <color theme="1"/>
        <rFont val="Arial"/>
        <family val="2"/>
      </rPr>
      <t>1992</t>
    </r>
    <r>
      <rPr>
        <sz val="12"/>
        <color theme="1"/>
        <rFont val="Arial"/>
        <family val="2"/>
      </rPr>
      <t xml:space="preserve">
1387: R.Central
43: R.Chorotega
215: R.Caribe
283: R.Norte
64: R. Pacífico</t>
    </r>
  </si>
  <si>
    <t xml:space="preserve"> Cantidad organizaciones sociales de mujeres y mixtas asesoradas para la defensa de sus derechos, la incidencia y la participación político durante el cuatrienio </t>
  </si>
  <si>
    <t>Ciudadanía da la línea base 2013-14 +  Desarrollo Regional</t>
  </si>
  <si>
    <r>
      <rPr>
        <b/>
        <sz val="12"/>
        <color theme="1"/>
        <rFont val="Arial"/>
        <family val="2"/>
      </rPr>
      <t>160</t>
    </r>
    <r>
      <rPr>
        <sz val="12"/>
        <color theme="1"/>
        <rFont val="Arial"/>
        <family val="2"/>
      </rPr>
      <t xml:space="preserve">
127: R. Central
29: R. Caribe
4: R. Norte</t>
    </r>
  </si>
  <si>
    <t>SCJ</t>
  </si>
  <si>
    <t>AP</t>
  </si>
  <si>
    <t xml:space="preserve">Cantidad de mujeres víctimas de violencia que recibieron asesoría legal o atención psicoterapéutica  </t>
  </si>
  <si>
    <t>LB 2015
4614 ♀</t>
  </si>
  <si>
    <t>ND</t>
  </si>
  <si>
    <r>
      <rPr>
        <b/>
        <sz val="12"/>
        <color theme="1"/>
        <rFont val="Arial"/>
        <family val="2"/>
      </rPr>
      <t>5 010</t>
    </r>
    <r>
      <rPr>
        <sz val="12"/>
        <color theme="1"/>
        <rFont val="Arial"/>
        <family val="2"/>
      </rPr>
      <t xml:space="preserve">
2 952: R. Central
648: R. Brunca
379: R. Chorotega
364: R.Caribe
446: R. Pacífico
221: R. Norte</t>
    </r>
  </si>
  <si>
    <t>Cantidad de mujeres en alto riesgo de femicidio atendidas en los CEAAM del INAMU</t>
  </si>
  <si>
    <t>LB 2015
CEAAM: 458 ♀</t>
  </si>
  <si>
    <r>
      <rPr>
        <b/>
        <sz val="12"/>
        <rFont val="Arial"/>
        <family val="2"/>
      </rPr>
      <t>270</t>
    </r>
    <r>
      <rPr>
        <sz val="12"/>
        <rFont val="Arial"/>
        <family val="2"/>
      </rPr>
      <t xml:space="preserve">
164: R. Central
106: R.Caribe</t>
    </r>
  </si>
  <si>
    <t xml:space="preserve">Cantidad anual de mujeres  en alto riesgo de femicidio con  KIT asignado  </t>
  </si>
  <si>
    <t>LB 2015
KITS: 18 ♀</t>
  </si>
  <si>
    <r>
      <t xml:space="preserve">Kits emergencia: 180 = 30/año 2015, 40/año 2016, </t>
    </r>
    <r>
      <rPr>
        <b/>
        <sz val="12"/>
        <rFont val="Arial"/>
        <family val="2"/>
      </rPr>
      <t>50/año 2017</t>
    </r>
    <r>
      <rPr>
        <sz val="12"/>
        <color theme="1"/>
        <rFont val="Arial"/>
        <family val="2"/>
      </rPr>
      <t>, 60/año 2018
40</t>
    </r>
  </si>
  <si>
    <t>Cantidad de mujeres organizadas en redes y grupos de autoayuda  para prevenir la VcM, según región al finalizar el 2018</t>
  </si>
  <si>
    <t xml:space="preserve">BA1=? (2014)
</t>
  </si>
  <si>
    <t xml:space="preserve">ND </t>
  </si>
  <si>
    <t xml:space="preserve">BA1= (2014)
</t>
  </si>
  <si>
    <t>BA1= (2014)
10 territorios LB 2015</t>
  </si>
  <si>
    <t xml:space="preserve">250 mujeres
</t>
  </si>
  <si>
    <r>
      <rPr>
        <b/>
        <sz val="12"/>
        <color theme="1"/>
        <rFont val="Arial"/>
        <family val="2"/>
      </rPr>
      <t>887</t>
    </r>
    <r>
      <rPr>
        <sz val="12"/>
        <color theme="1"/>
        <rFont val="Arial"/>
        <family val="2"/>
      </rPr>
      <t xml:space="preserve">
453: Cantidades
reportadas para
varias zonas, no se
especifica
150: R. Brunca
91: R. Chorotega
151: R. Pacífico
42: R. Norte</t>
    </r>
  </si>
  <si>
    <t xml:space="preserve">355%
</t>
  </si>
  <si>
    <t xml:space="preserve"> </t>
  </si>
  <si>
    <t>20 grupos</t>
  </si>
  <si>
    <t>7 grupos</t>
  </si>
  <si>
    <t xml:space="preserve">20 grupos </t>
  </si>
  <si>
    <t>6 grupos (Siquirres, Desamparados, Puntarenas, Paraíso, Cañas y Alajuela)</t>
  </si>
  <si>
    <t>Tasa anual de crecimiento en la atención a mujeres por el Centro de información, orientación y referencia CIO a partir del 2016</t>
  </si>
  <si>
    <t xml:space="preserve">Propuestas normativas= 30
Codyuvancias= 25
Incidencias= 15
(LB 2014)
</t>
  </si>
  <si>
    <t>10%
(2970)</t>
  </si>
  <si>
    <t>22%
(3308)</t>
  </si>
  <si>
    <t>2700
(2013-2014)</t>
  </si>
  <si>
    <t>10%
(3630)</t>
  </si>
  <si>
    <t>10,26%
(3723)</t>
  </si>
  <si>
    <t>10%
(3723)</t>
  </si>
  <si>
    <r>
      <rPr>
        <b/>
        <sz val="12"/>
        <rFont val="Arial"/>
        <family val="2"/>
      </rPr>
      <t>3 465</t>
    </r>
    <r>
      <rPr>
        <sz val="12"/>
        <rFont val="Arial"/>
        <family val="2"/>
      </rPr>
      <t xml:space="preserve">
2835: R. Central
243: R. Brunca
326: R. Chorotega
3: R. Pacífico
58: R. Caribe
</t>
    </r>
  </si>
  <si>
    <t xml:space="preserve">Cantidad anual de mujeres que reciben capital semilla y seguimiento mediante el fondo concursable FOMUJER </t>
  </si>
  <si>
    <t>POI 2015</t>
  </si>
  <si>
    <t>Cantidad de organizaciones de mujeres que reciben anualmente fondos para su fortalecimiento, desde FOMUJER</t>
  </si>
  <si>
    <t>AT</t>
  </si>
  <si>
    <t>Cantidad de Comités Locales de Atención Inmediata a mujeres Víctimas de Violencia (CLAIS) conformados</t>
  </si>
  <si>
    <t>N.D.</t>
  </si>
  <si>
    <t>LB 2015
CLAIS: 10 comités</t>
  </si>
  <si>
    <t>24 conformados (Meta PEI al 2017)</t>
  </si>
  <si>
    <t>31 conformados (Meta PEI)</t>
  </si>
  <si>
    <t>Cantidad anual de empresas públicas y privadas  ejecutando alguna de las fases del SIGIEG: Implementación, certificadas o premiadas con el Sello de Equidad de Género (No contabiliza proyecto de inversión)</t>
  </si>
  <si>
    <t>15 
(LB2014)</t>
  </si>
  <si>
    <t>32
(acumulativo)</t>
  </si>
  <si>
    <t>64
(LB2014)
Meta PEI</t>
  </si>
  <si>
    <t xml:space="preserve">189%
</t>
  </si>
  <si>
    <t>Porcentaje de acciones del III Plan PIEG incorporadas en POIs de las instituciones ejecutoras de la PIEG</t>
  </si>
  <si>
    <t>COMENTARIO: 
SECTENICA PIEG+SNVcM deben suministrar LB</t>
  </si>
  <si>
    <t>LB 2015
35%</t>
  </si>
  <si>
    <t>Porcentaje de cumplimiento de las acciones  del PLANOVI en el marco de la Política Pública en VcM</t>
  </si>
  <si>
    <t>PLANOVI rediseñado</t>
  </si>
  <si>
    <t xml:space="preserve">Se avanzó en un documento de diagnóstico y consulta multisectoriales preparatorios al diseño de políticas  </t>
  </si>
  <si>
    <t>PLANOVI rediseñado y 10% acciones en ejecuciòn</t>
  </si>
  <si>
    <t xml:space="preserve">Se aprobó la nueva política en VcM. Se encuentra en proceso de formulación el Plan de Acción. </t>
  </si>
  <si>
    <t>PLANOVI
rediseñado y 75%
de acciones
iniciada</t>
  </si>
  <si>
    <t>Porcentaje  de instituciones del SNVcM con servicios públicos estratégicos cuentan con protocolos y estándares de calidad desarrollados.</t>
  </si>
  <si>
    <t>1
Delegación de la mujer 2015-2016</t>
  </si>
  <si>
    <t xml:space="preserve">10%
</t>
  </si>
  <si>
    <r>
      <rPr>
        <sz val="12"/>
        <rFont val="Arial"/>
        <family val="2"/>
      </rPr>
      <t>0</t>
    </r>
    <r>
      <rPr>
        <sz val="12"/>
        <color theme="1"/>
        <rFont val="Arial"/>
        <family val="2"/>
      </rPr>
      <t xml:space="preserve">
</t>
    </r>
  </si>
  <si>
    <t>No. de funcionarios y funcionarias públicas capacitadas en género</t>
  </si>
  <si>
    <t>Cantidad de  servicios estratégicos en instituciones publicas que cuentan con politicas, planes, protocolos ó , procedimientos de atención a mujeres y con mecanismos de verificación de satisfacción de sus necesidades .</t>
  </si>
  <si>
    <t>25 instituciones</t>
  </si>
  <si>
    <r>
      <rPr>
        <b/>
        <sz val="12"/>
        <color theme="1"/>
        <rFont val="Arial"/>
        <family val="2"/>
      </rPr>
      <t>19</t>
    </r>
    <r>
      <rPr>
        <sz val="12"/>
        <color theme="1"/>
        <rFont val="Arial"/>
        <family val="2"/>
      </rPr>
      <t xml:space="preserve">
R. Brunca: 2
R. Chorotega: 1
R. Central: 14
R. Caribe: 1
R. Norte: 1</t>
    </r>
  </si>
  <si>
    <r>
      <rPr>
        <b/>
        <sz val="12"/>
        <color theme="1"/>
        <rFont val="Arial"/>
        <family val="2"/>
      </rPr>
      <t>NOTAS TÉCNICAS</t>
    </r>
    <r>
      <rPr>
        <sz val="12"/>
        <color theme="1"/>
        <rFont val="Arial"/>
        <family val="2"/>
      </rPr>
      <t xml:space="preserve">:  La programación anual de esta meta se aumentó como acuerdo de la Junta Directiva del INAMU, con base en lo obtenido el año anterior 2016 para los mismos indicadores. Sin embargo, solamente el aumento en la meta programada para el indicador relacionado con la capacitación a mujeres en condiciones de pobreza sobre Formación Humana, programa vinculado con el Plan Puente al Desarrollo. Véase MAPP INAMU 2017, Sector Desarrollo Humano e Inclusión Social.- </t>
    </r>
  </si>
  <si>
    <t>PROGRAMA: ADMINISTRATIVO</t>
  </si>
  <si>
    <t xml:space="preserve">PORCENTAJE de ejecución </t>
  </si>
  <si>
    <t>Programados</t>
  </si>
  <si>
    <t xml:space="preserve">Soporte Administrativo
</t>
  </si>
  <si>
    <t>Porcentaje anual de resoluciones positivas de la gestión de compras institucionales, con respecto al porcentaje total de compras proyectado.(EFECTO)</t>
  </si>
  <si>
    <t>Variación porcentual del tiempo de duración promedio de la contratación según línea base 2011</t>
  </si>
  <si>
    <r>
      <rPr>
        <b/>
        <sz val="12"/>
        <rFont val="Arial"/>
        <family val="2"/>
      </rPr>
      <t>-3,69%</t>
    </r>
    <r>
      <rPr>
        <sz val="12"/>
        <rFont val="Arial"/>
        <family val="2"/>
      </rPr>
      <t xml:space="preserve">
CD = 84%= -4.2
LA = 75%= -3.75
LP =  0</t>
    </r>
  </si>
  <si>
    <r>
      <t xml:space="preserve"> Porcentaje de cumplimiento por  etapas de la vinculacion plan - presupuesto y  de la redefinición de los programas presupuestarios. 
</t>
    </r>
    <r>
      <rPr>
        <b/>
        <sz val="16"/>
        <color theme="1"/>
        <rFont val="Arial"/>
        <family val="2"/>
      </rPr>
      <t xml:space="preserve">Escala de desempeño: </t>
    </r>
    <r>
      <rPr>
        <sz val="16"/>
        <color theme="1"/>
        <rFont val="Arial"/>
        <family val="2"/>
      </rPr>
      <t xml:space="preserve">
</t>
    </r>
    <r>
      <rPr>
        <b/>
        <sz val="16"/>
        <color theme="1"/>
        <rFont val="Arial"/>
        <family val="2"/>
      </rPr>
      <t>25% POI elaborado
25% Presupuesto elaborado y codificado de acuerdo al POI
25% Manual Plan-Presupuesto elaborado
25% Redefinidos programas y sub programas presupuestarios)</t>
    </r>
  </si>
  <si>
    <t xml:space="preserve">Consolidados y protocolizado los procesos (el ciclo) de planificación según niveles Estratégica, táctica y operativa, sus riesgos  y los presupuestos plurianuales. </t>
  </si>
  <si>
    <t>Protocolo de los procesos (el ciclo) de planificación elaborados y aprobados al 2017</t>
  </si>
  <si>
    <t xml:space="preserve">Protocolos de Planificación Estratégica y Planificación operativa elaborados
Protocolo de proyectos de inversión pública en elaboración
Protocolo de control interno en elaboración </t>
  </si>
  <si>
    <t>100% Protocolos de Planificación Estratégica y Planificación operativa elaborados (Ponderado 33.3%)
100% Protocolo de proyectos de inversión pública elaborado. Falta aprobación (Ponderado 33.3%)
40% Protocolo de control interno en elaboración (Ponderado 13.2%)</t>
  </si>
  <si>
    <t>Manual Plan Presupuesto y redefinidos los programas presupuestarios
Sevri (Prot. Riesgos)
Borrador Protocolo Proyectos de Inversión.
Ruta crítica (Metodología Estratégica)
(queda pendiente Protocolizar la Planificación Estratégica y los Presupuestos plurianuales)
NT: se corrige el porcentaje reportado en el I semestre de 80%, siendo el correcto 75%</t>
  </si>
  <si>
    <t xml:space="preserve">Procesos de atención, asistencia técnica y asesoría  en empresariedad ,VcM, organización y liderazgo, y orientación  e información  están protocolizado y funcionando en cada regiones del INAMU  </t>
  </si>
  <si>
    <t xml:space="preserve">Estrategia de empresariedad protocolizada
Modelo preventivo en VcM protocolizado
Ampliados y protocolizados los Servicios CIO </t>
  </si>
  <si>
    <t>Modelo preventivo protocolizado
Ampliados los servicios del CIO</t>
  </si>
  <si>
    <t>70%  de avance en la Estrategia de empresariedad (ponderado 23,1%)
50% Modelo preventivo en VcM protocolizado (ponderado 16,5%)
100% Ampliados y protocolizados los Servicios CIO (ponderado 33,3%)</t>
  </si>
  <si>
    <t>90%  de avance en la Estrategia de empresariedad (ponderado 30%) pendiente recibir documentos probatorios, 
Modelo preventivo en VcM protocolizado (ponderado 15%) se recibe correo indicando que no se hizo
100% Ampliados y protocolizados los Servicios CIO (ponderado 33,3%) (listo)</t>
  </si>
  <si>
    <t>Procesos y subprocesos de trabajo orientados a la gestión del FOMUJER  son aprobados y funcionan</t>
  </si>
  <si>
    <t>Al 2015 el proceso de trabajo FOMUJER , asi como sus manuales de procedimiento están mejorados, aprobados y en funcionamiento</t>
  </si>
  <si>
    <t>Manual (reglamento) mejorado y en operación</t>
  </si>
  <si>
    <r>
      <t xml:space="preserve">Manual (reglamento) mejorado y en operación 
</t>
    </r>
    <r>
      <rPr>
        <b/>
        <sz val="12"/>
        <rFont val="Arial"/>
        <family val="2"/>
      </rPr>
      <t>CUMPLIDO en 2016</t>
    </r>
  </si>
  <si>
    <t>Manual (reglamento) mejorado y en operación. En revisión permanente para incorporar mejoras 
CUMPLIDO DESDE EL 2017</t>
  </si>
  <si>
    <t>Soporte Administrativo
a/</t>
  </si>
  <si>
    <t xml:space="preserve"> Cantidad de recursos humanos especializados contratados  para la DAF e informática de acuerdo con diagnóstico de necesidades aprobado.</t>
  </si>
  <si>
    <t>10 profesionales DAF, 
5 profesionales informáticos</t>
  </si>
  <si>
    <t xml:space="preserve">7 prof. Adtvas
0 prof. informát
</t>
  </si>
  <si>
    <t>7 prof. Adtvas 
3 prof operativo informàtica</t>
  </si>
  <si>
    <t>7 prof. Adtvas queda una plaza por llenar de comunicación</t>
  </si>
  <si>
    <t xml:space="preserve">Cantidad de recursos humanos especializados contratados  para las áreas técnicas de acuerdo con diagnóstico de necesidades aprobado </t>
  </si>
  <si>
    <t>7 técnicos administrativos para las áreas técnicas</t>
  </si>
  <si>
    <t>18 prof.técnic</t>
  </si>
  <si>
    <r>
      <t xml:space="preserve">18 prof.técnic
</t>
    </r>
    <r>
      <rPr>
        <b/>
        <sz val="12"/>
        <rFont val="Arial"/>
        <family val="2"/>
      </rPr>
      <t>CUMPLIDO</t>
    </r>
  </si>
  <si>
    <t>18 prof.técnic
CUMPLIDO DESDE EL 2017 257%</t>
  </si>
  <si>
    <t>Soporte Adminsitrativo</t>
  </si>
  <si>
    <t>Porcentaje de personal especializado de áreas técnicas y administrativas capacitado de acuerdo con prioridades del Plan de Capacitación Institucional</t>
  </si>
  <si>
    <t>20% al 2015,
75% al 2016,
95% al 2017</t>
  </si>
  <si>
    <t>78,62% al 2016
(205 personas de 262</t>
  </si>
  <si>
    <t>20% al 2015,
75% al 2016,
95% al 2017
(acumulativa)</t>
  </si>
  <si>
    <t>73.43%</t>
  </si>
  <si>
    <t>4 actividades de 12 programadas
pendiente respuesta de rrhh</t>
  </si>
  <si>
    <t>Sopoerte Administrativo</t>
  </si>
  <si>
    <t>Porcentaje de proyectos del portafolio de proyectos ejecutados del PETI 2015-2017</t>
  </si>
  <si>
    <t>91%
(21/23)</t>
  </si>
  <si>
    <t>52,38%
pendiente respuesta a correo por parte de ingrid</t>
  </si>
  <si>
    <t xml:space="preserve"> Cantidad de edificios construídos y remodelados  bajo estándares adecuados y equipamiento requerido que respondan a las necesidades de las usuarias internas y externas.</t>
  </si>
  <si>
    <t>A-  Contrucción Edificio y Regional Central.
B-Contrucción Regionales; Huetar Norte, Brunca, Pacífico Central y Huetar Caribe.
C-Construcción CEAAM Metropolitano. 
D-Adquisición Edificio Delegación
E-Remodelación Regional Chorotega
F. Remodelación CEAAM Occidente</t>
  </si>
  <si>
    <t xml:space="preserve">En proceso contratar directamente con el Programa de Naciones Unidas para el Desarrollo UNOPS los servicios para el “Estudio diseño y construcción de la Sede Central del Instituto Nacional de las Mueres (INAMU)
Aprobación de JD la compra del terreno en Huetar Norte, 
Brunca no se concretó por negativa del Dueño del terreno
</t>
  </si>
  <si>
    <t xml:space="preserve">1 en ejecución Con la Autorización de la CGR para el inicio del Proyecto de las oficinas Centrales ubicadas en Zapote, se realiza el primer desembolso de recursos a la empresa UNOPS
</t>
  </si>
  <si>
    <t xml:space="preserve">A-  Construcción Edificio y Regional Central. 6.02% Referencia de escala        
B-Construcción Regionales; Huetar Norte, Brunca, Pacífico Central y Huetar Caribe:           
B-Construcción Regionales; Huetar Norte 15% compra de lote 15% estudios y anteproyecto:17.5% Diseño:17.5% Construcción:50% 
B-Construcción Regionales; Brunca 15% compra de lote 15% estudios y anteproyecto:17.5% Diseño:17.5% Construcción:50% 
B-Construcción Regionales: Pacífico Central  0% ya se cuenta con lote  estudios y anteproyecto:25% Diseño:25% Construcción:50% 
B-Construcción Regionales:Huetar Caribe 0% ya se cuenta con lote  estudios y anteproyecto:25% Diseño:25% Construcción:50% 
C-Construcción CEAAM Metropolitano. 0% Proyecto rechazado por Comisión de Inversión Pública, razones documentadas en expediente        
D-Adquisición Edificio Delegación   Es el mismo proyecto A de Oficinas Centrales        
E-Remodelación Regional Chorotega 100% 100% de las remodelaciones requeridas        
F. Remodelación CEAAM Occidente 100% 100% de las remodelaciones requeridas        </t>
  </si>
  <si>
    <t xml:space="preserve"> Cantidad de edificios con equipamiento servicios públicos y equipamiento  requerido, que respondan a las necesidades de las usuarias internas y externas.</t>
  </si>
  <si>
    <t>Remodelación de 2 edificios se concluyeron al 100% (el CEAAM OCC, y el CEAAM Caribe)</t>
  </si>
  <si>
    <t>NICSP y el costeo unitario de servicios en casos piloto incorporados en la gestión administrativa del INAMU</t>
  </si>
  <si>
    <t>Al 2018 las NICSP y el costeo unitario de servicios en casos piloto incorporados en la gestión administrativa del INAMU</t>
  </si>
  <si>
    <t>La implementación de las NICSP, conlleva realizar cambios en la información de los módulos del sistema Bosht, tales como los módulos del Área de Proveeduría (catálogo de compras), así como en el módulo de Contabilidad (catálogo contable y estructura de los estados financieros, se modificaron los asientos predefinidos de todos los módulos del Bosht). Adicionalmente se han elaborado y revisado productos para la implementación de las NICSP, tales como el catálogo contable, manual funcional de cuentas, guías de cuentas contables,  revisión de los asientos de procedimientos contables y depuración de cuentas por cobrar y cuentas por pagar.</t>
  </si>
  <si>
    <r>
      <rPr>
        <b/>
        <sz val="12"/>
        <rFont val="Arial"/>
        <family val="2"/>
      </rPr>
      <t xml:space="preserve"> 1)</t>
    </r>
    <r>
      <rPr>
        <sz val="12"/>
        <rFont val="Arial"/>
        <family val="2"/>
      </rPr>
      <t xml:space="preserve"> Se aprueba Plan de Acción para Adopción e Implementación de las NICSP mediante Acuerdo No.2 de Junta Directiva, Acta No.25-2009 del 20/07/2009.
</t>
    </r>
    <r>
      <rPr>
        <b/>
        <sz val="12"/>
        <rFont val="Arial"/>
        <family val="2"/>
      </rPr>
      <t>2)</t>
    </r>
    <r>
      <rPr>
        <sz val="12"/>
        <rFont val="Arial"/>
        <family val="2"/>
      </rPr>
      <t xml:space="preserve"> Se aprueban el Catálogo Contable , Manual de Políticas Generales y Específicas y Manual de Procedimientos Contables mediante acuerdo de Junta Directiva No.6 del Acta 06-2017, del 20/03/2017. 
</t>
    </r>
    <r>
      <rPr>
        <b/>
        <sz val="12"/>
        <rFont val="Arial"/>
        <family val="2"/>
      </rPr>
      <t>3)</t>
    </r>
    <r>
      <rPr>
        <sz val="12"/>
        <rFont val="Arial"/>
        <family val="2"/>
      </rPr>
      <t xml:space="preserve">Se presentó cronograma para reconocimiento y medición de las NICSP que cuentan con transitorios y se concluye el período 2016-2017 con un avance de un </t>
    </r>
    <r>
      <rPr>
        <b/>
        <sz val="12"/>
        <rFont val="Arial"/>
        <family val="2"/>
      </rPr>
      <t>85%</t>
    </r>
    <r>
      <rPr>
        <sz val="12"/>
        <rFont val="Arial"/>
        <family val="2"/>
      </rPr>
      <t xml:space="preserve"> según el cuestionario de Plan de Acción de Implementación NICSP y NIIF a la Contabilidad Nacional 
</t>
    </r>
    <r>
      <rPr>
        <b/>
        <sz val="11"/>
        <color rgb="FFFF0000"/>
        <rFont val="Calibri"/>
        <family val="2"/>
        <scheme val="minor"/>
      </rPr>
      <t/>
    </r>
  </si>
  <si>
    <t xml:space="preserve">Al 31 de diciembre 2018 se han realizado los asientos contables según el catálogo definido, asi como los asientos predefinidos para los diferentes módulos de acuerdo con  las información suministrada por las unidades de registro primario. Se está trabajando sobre los Estados Financieros según NIC SP al 31 de diciembre. Nivel de cumplimiento aproximado acumulado 60%.
</t>
  </si>
  <si>
    <t>Cantidad anual de empresas públicas y privadas  ejecutando alguna de las fases del SIGIG: Implementación, certificadas o premiadas con el Sello de Equidad de Género (No contabiliza proyecto de inversión)</t>
  </si>
  <si>
    <t>Prog</t>
  </si>
  <si>
    <t>Ejec</t>
  </si>
  <si>
    <t>% Ej</t>
  </si>
  <si>
    <t xml:space="preserve"> Porcentaje de cumplimiento por  etapas de la vinculacion plan - presupuesto y  de la redefinición de los programas presupuestarios. 
Escala de desempeño: 
25% POI elaborado
25% Presupuesto elaborado y codificado de acuerdo al POI
25% Manual Plan-Presupuesto elaborado
25% Redefinidos programas y sub programas presupuestarios)</t>
  </si>
  <si>
    <t>OBJE</t>
  </si>
  <si>
    <r>
      <rPr>
        <b/>
        <sz val="16"/>
        <color theme="1"/>
        <rFont val="Century Gothic"/>
        <family val="2"/>
      </rPr>
      <t xml:space="preserve">Objetivo 2.  </t>
    </r>
    <r>
      <rPr>
        <sz val="16"/>
        <color theme="1"/>
        <rFont val="Century Gothic"/>
        <family val="2"/>
      </rPr>
      <t>Servicios Públicos competentes Protección de Derechos Humanos de las Mujeres</t>
    </r>
  </si>
  <si>
    <t>Cantidad de mujeres capacitadas para ejercer una participactión politíca género sensitiva en distintas instancias de participación, según región y en comparación con la línea base 2014 .</t>
  </si>
  <si>
    <t xml:space="preserve">Cantidad organizaciones sociales de mujeres y mixtas asesoradas para la defensa de sus derechos, la incidencia y la participación político durante el cuatrienio </t>
  </si>
  <si>
    <r>
      <rPr>
        <b/>
        <sz val="12"/>
        <color theme="1"/>
        <rFont val="Century Gothic"/>
        <family val="2"/>
      </rPr>
      <t>5 010</t>
    </r>
    <r>
      <rPr>
        <sz val="12"/>
        <color theme="1"/>
        <rFont val="Century Gothic"/>
        <family val="2"/>
      </rPr>
      <t xml:space="preserve">
2 952: R. Central
648: R. Brunca
379: R. Chorotega
364: R.Caribe
446: R. Pacífico
221: R. Norte</t>
    </r>
  </si>
  <si>
    <t xml:space="preserve">
Modelo preventivo protocolizado (33,3)
Ampliados los servicios del CIO (33,3)</t>
  </si>
  <si>
    <r>
      <rPr>
        <b/>
        <sz val="12"/>
        <color theme="1"/>
        <rFont val="Century Gothic"/>
        <family val="2"/>
      </rPr>
      <t>1992</t>
    </r>
    <r>
      <rPr>
        <sz val="12"/>
        <color theme="1"/>
        <rFont val="Century Gothic"/>
        <family val="2"/>
      </rPr>
      <t xml:space="preserve">
1387: R.Central
43: R.Chorotega
215: R.Caribe
283: R.Norte
64: R. Pacífico</t>
    </r>
  </si>
  <si>
    <r>
      <rPr>
        <b/>
        <sz val="12"/>
        <color theme="1"/>
        <rFont val="Century Gothic"/>
        <family val="2"/>
      </rPr>
      <t>160</t>
    </r>
    <r>
      <rPr>
        <sz val="12"/>
        <color theme="1"/>
        <rFont val="Century Gothic"/>
        <family val="2"/>
      </rPr>
      <t xml:space="preserve">
127: R. Central
29: R. Caribe
4: R. Norte</t>
    </r>
  </si>
  <si>
    <r>
      <rPr>
        <b/>
        <sz val="12"/>
        <color theme="1"/>
        <rFont val="Century Gothic"/>
        <family val="2"/>
      </rPr>
      <t xml:space="preserve">15 191
</t>
    </r>
    <r>
      <rPr>
        <sz val="12"/>
        <color theme="1"/>
        <rFont val="Century Gothic"/>
        <family val="2"/>
      </rPr>
      <t xml:space="preserve">
14 391 (Población
PAM módulo
especial) + 800
4 463: R. Central
2 102: R. Brunca
2 301: R. Chorotega
2 315: R. Caribe
2 044: R. Norte
1 966: R. Pacífico</t>
    </r>
  </si>
  <si>
    <r>
      <rPr>
        <b/>
        <sz val="14"/>
        <color theme="1"/>
        <rFont val="Century Gothic"/>
        <family val="2"/>
      </rPr>
      <t>Objetivo 6</t>
    </r>
    <r>
      <rPr>
        <sz val="14"/>
        <color theme="1"/>
        <rFont val="Century Gothic"/>
        <family val="2"/>
      </rPr>
      <t xml:space="preserve">. Mejorar la calidad y la cobertura de los servicios de atención de las  mujeres desde su diversidad, afectadas por la violencia en todas sus manifestaciones y desarrollo de alternativas de prevención primaria </t>
    </r>
  </si>
  <si>
    <r>
      <rPr>
        <b/>
        <sz val="12"/>
        <rFont val="Century Gothic"/>
        <family val="2"/>
      </rPr>
      <t>-3,69%</t>
    </r>
    <r>
      <rPr>
        <sz val="12"/>
        <rFont val="Century Gothic"/>
        <family val="2"/>
      </rPr>
      <t xml:space="preserve">
CD = 84%= -4.2
LA = 75%= -3.75
LP =  0</t>
    </r>
  </si>
  <si>
    <t xml:space="preserve">PAD
</t>
  </si>
  <si>
    <t>PAD</t>
  </si>
  <si>
    <t xml:space="preserve">PTE
</t>
  </si>
  <si>
    <r>
      <rPr>
        <b/>
        <sz val="16"/>
        <color theme="1"/>
        <rFont val="Century Gothic"/>
        <family val="2"/>
      </rPr>
      <t xml:space="preserve">Objetivo 5.  </t>
    </r>
    <r>
      <rPr>
        <sz val="16"/>
        <color theme="1"/>
        <rFont val="Century Gothic"/>
        <family val="2"/>
      </rPr>
      <t>Generar conocimiento, participación, y movilización ciudadana a favor de la igualdad y los derechos de las mujeres.</t>
    </r>
  </si>
  <si>
    <r>
      <t xml:space="preserve">Objetivo 8. </t>
    </r>
    <r>
      <rPr>
        <sz val="12"/>
        <color theme="1"/>
        <rFont val="Century Gothic"/>
        <family val="2"/>
      </rPr>
      <t xml:space="preserve">Aumentar la resolución positiva de la gestión de compras institucionales, automatizando procesos y simplificando trámites </t>
    </r>
  </si>
  <si>
    <r>
      <t>Objetivo 9.</t>
    </r>
    <r>
      <rPr>
        <sz val="12"/>
        <color theme="1"/>
        <rFont val="Arial"/>
        <family val="2"/>
      </rPr>
      <t xml:space="preserve"> Establecer un sistema de planificación institucional que incluya mecanismos de seguimiento y evaluación integrado de los procesos de trabajo institucional. </t>
    </r>
  </si>
  <si>
    <r>
      <t xml:space="preserve">Objetivo 10.  </t>
    </r>
    <r>
      <rPr>
        <sz val="12"/>
        <color theme="1"/>
        <rFont val="Arial"/>
        <family val="2"/>
      </rPr>
      <t xml:space="preserve">Procesos de atención, asistencia técnica y asesoría  en empresariedad, VcM, organización y liderazgo, y orientación  e información  están protocolizado y funcionando en cada regiones del INAMU </t>
    </r>
  </si>
  <si>
    <r>
      <t xml:space="preserve">Objetivo 11. </t>
    </r>
    <r>
      <rPr>
        <sz val="11"/>
        <color theme="1"/>
        <rFont val="Arial"/>
        <family val="2"/>
      </rPr>
      <t xml:space="preserve">Mejorar el funcionamiento del FOMUJER como complemento a la promoción de la autonomía económica de las mujeres en materia de emprendedurismo, empresariedad y organización.  </t>
    </r>
  </si>
  <si>
    <r>
      <t xml:space="preserve">Objetivo 12. </t>
    </r>
    <r>
      <rPr>
        <sz val="12"/>
        <color theme="1"/>
        <rFont val="Arial"/>
        <family val="2"/>
      </rPr>
      <t>Desarrollar una Política de fortalecimiento y dotación del capital y talento humano  para atender las necesidades que requiere el INAMU.</t>
    </r>
  </si>
  <si>
    <r>
      <t xml:space="preserve">Objetivo 13. </t>
    </r>
    <r>
      <rPr>
        <sz val="12"/>
        <color theme="1"/>
        <rFont val="Arial"/>
        <family val="2"/>
      </rPr>
      <t>Desarrollar e implementar Tecnologías de información de vanguardia y fomentar su uso efectivo y eficiente en el INAMU, con el fin de que todas las oficinas internas y externas brinden servicios oportunos ágiles y confiables a las mujeres.</t>
    </r>
  </si>
  <si>
    <r>
      <t xml:space="preserve">Objetivo 14. </t>
    </r>
    <r>
      <rPr>
        <sz val="16"/>
        <color theme="1"/>
        <rFont val="Century Gothic"/>
        <family val="2"/>
      </rPr>
      <t xml:space="preserve">Desarrollar la infraestructura nacional y regional y dotarlos de equipamiento. </t>
    </r>
  </si>
  <si>
    <r>
      <t xml:space="preserve">Objetivo 15. </t>
    </r>
    <r>
      <rPr>
        <sz val="12"/>
        <color theme="1"/>
        <rFont val="Century Gothic"/>
        <family val="2"/>
      </rPr>
      <t xml:space="preserve"> Ejecutar los bienes y servicios institucionales mediante una óptima distribución de los recursos presupuestarios disponibles, en cumplimiento con la normativa vigente</t>
    </r>
  </si>
  <si>
    <r>
      <rPr>
        <b/>
        <sz val="12"/>
        <rFont val="Century Gothic"/>
        <family val="2"/>
      </rPr>
      <t xml:space="preserve"> 1)</t>
    </r>
    <r>
      <rPr>
        <sz val="12"/>
        <rFont val="Century Gothic"/>
        <family val="2"/>
      </rPr>
      <t xml:space="preserve"> Se aprueba Plan de Acción para Adopción e Implementación de las NICSP mediante Acuerdo No.2 de Junta Directiva, Acta No.25-2009 del 20/07/2009.
</t>
    </r>
    <r>
      <rPr>
        <b/>
        <sz val="12"/>
        <rFont val="Century Gothic"/>
        <family val="2"/>
      </rPr>
      <t>2)</t>
    </r>
    <r>
      <rPr>
        <sz val="12"/>
        <rFont val="Century Gothic"/>
        <family val="2"/>
      </rPr>
      <t xml:space="preserve"> Se aprueban el Catálogo Contable , Manual de Políticas Generales y Específicas y Manual de Procedimientos Contables mediante acuerdo de Junta Directiva No.6 del Acta 06-2017, del 20/03/2017. 
</t>
    </r>
    <r>
      <rPr>
        <b/>
        <sz val="12"/>
        <rFont val="Century Gothic"/>
        <family val="2"/>
      </rPr>
      <t>3)</t>
    </r>
    <r>
      <rPr>
        <sz val="12"/>
        <rFont val="Century Gothic"/>
        <family val="2"/>
      </rPr>
      <t xml:space="preserve">Se presentó cronograma para reconocimiento y medición de las NICSP que cuentan con transitorios y se concluye el período 2016-2017 con un avance de un </t>
    </r>
    <r>
      <rPr>
        <b/>
        <sz val="12"/>
        <rFont val="Century Gothic"/>
        <family val="2"/>
      </rPr>
      <t>85%</t>
    </r>
    <r>
      <rPr>
        <sz val="12"/>
        <rFont val="Century Gothic"/>
        <family val="2"/>
      </rPr>
      <t xml:space="preserve"> según el cuestionario de Plan de Acción de Implementación NICSP y NIIF a la Contabilidad Nacional 
</t>
    </r>
    <r>
      <rPr>
        <b/>
        <sz val="11"/>
        <color rgb="FFFF0000"/>
        <rFont val="Calibri"/>
        <family val="2"/>
        <scheme val="minor"/>
      </rPr>
      <t/>
    </r>
  </si>
  <si>
    <t>?</t>
  </si>
  <si>
    <r>
      <rPr>
        <b/>
        <sz val="16"/>
        <color theme="1"/>
        <rFont val="Century Gothic"/>
        <family val="2"/>
      </rPr>
      <t xml:space="preserve">Objetivo 7. </t>
    </r>
    <r>
      <rPr>
        <sz val="16"/>
        <color theme="1"/>
        <rFont val="Century Gothic"/>
        <family val="2"/>
      </rPr>
      <t>Fortalecer al INAMU como mecanismo nacional de  las mujeres en su papel de rectoría, a fin de garantizar un marco institucional de políticas públicas para la igualdad y el avance en los derechos humanos de las mujeres.</t>
    </r>
  </si>
  <si>
    <t>11.4.2 Porcentaje de Estados Financieros emitidos de acuerdo con las NICSP y en relación con el total emitido cada año.</t>
  </si>
  <si>
    <t>Programa Soporte Administrativo
Financiero Contable</t>
  </si>
  <si>
    <t>11.4.1 Porcentaje de informes emitidos en tiempo y forma, según normativa y, en relación con el total emitido cada año. ( xx emitidos según normativa/total emitido *100)</t>
  </si>
  <si>
    <t>11. Ejecutar los bienes y servicios institucionales mediante una óptima distribución de los recursos financieros correspondientes en cumpliento con la normativa vigente.</t>
  </si>
  <si>
    <t>10.3.9 Porcentaje de recomendaciones derivadas de evaluaciones del desempeño que son incorporadas al plan de capacitación institucional. (indicador enlace con plan de capacitación)</t>
  </si>
  <si>
    <t>Programa Soporte Administrativo
Gestión Recurso Humano</t>
  </si>
  <si>
    <t>10.3.8 Porcentaje anual de evaluaciones de desempeño ejecutadas y clasificadas según grado de desempeño. (indicador alternativo o adicional)</t>
  </si>
  <si>
    <t xml:space="preserve">10.3.6 Porcentaje anual del personal del INAMU que concluyó actividades de capacitación previstas en el plan, según cobertura y calidad. 
(se requiere nota técnica: qué es exitosa? que es cobertura y qué es calidad? ) </t>
  </si>
  <si>
    <t xml:space="preserve">10.3.5 Porcentaje de actividades realizadas con éxito contenidas en cada plan de capacitación de cada periodo.
(se requiere nota técnica: qué es exitosa? que es cobertura y qué es calidad? ) </t>
  </si>
  <si>
    <t>10.3.3 Porcentaje del personal del INAMU cubierto anualmente por acciones del plan de salud y seguridad ocupacional, según sede institucional y con relación al total previsto.</t>
  </si>
  <si>
    <t>10.3.2 Porcentaje nómina trámitadas y ejecutadas con respecto a la meta anual y sus derivados</t>
  </si>
  <si>
    <t>10.3.1 Porcentaje Personas reclutadas y seleccionadas versus total de vacantes disponibles</t>
  </si>
  <si>
    <t>10,3.7 Porcentaje de evaluaciones de desempeño realizadas en comparación con el total de personas funcionarias en servicio.</t>
  </si>
  <si>
    <t>10,3.4 Porcentaje de ejecución de las acciones del plan de salud y seguridad ocupacional ejecutadas</t>
  </si>
  <si>
    <t>10. Desarrollar una política de Gestión de talento Humano que permita la articulación de procesos internos de cara a un posicionamientos institucional positivo a nivel nacional</t>
  </si>
  <si>
    <t>9.3.5  Elaborada y en ejecución Plan de Acción de Comisión de Tecnologías de información</t>
  </si>
  <si>
    <t xml:space="preserve">Programa Tecnología de Información y Comunicación </t>
  </si>
  <si>
    <t>9.3.4  Porcentaje de cumplimiento de Plan de Acción de Comisión de transparencia y Datos abiertos</t>
  </si>
  <si>
    <t>9.3.3  Porcentaje de cumplimiento de cartera de proyectos PETI vinculados al mantenimiento  informático</t>
  </si>
  <si>
    <t>9.3.2  Porcentaje de cumplimiento de cartera de proyectos PETI vinculados al desarrollo de sistemas informáticos</t>
  </si>
  <si>
    <t>9.3.1  Porcentaje de cumplimiento de cartera de proyectos PETI vinculados a la plataforma informática</t>
  </si>
  <si>
    <t>9.1.1  Porcentaje de actualización de los siguientes sistemas del Programa Técnico:
*SIPAMU
*SOCI
*FOMUJERES y EMPRESARIEDAD
*SISTEMA DE REGISTRO DE LA CAPACITACION A MUJERES
*SISTEMA DE REGISTRO DE LA ASISTENCIA TÉCNICA A FUNCIONARIOS(AS) PÚBLICOS EN GÉNERO Y PREVENCIÓN DE LA VcM</t>
  </si>
  <si>
    <t>9. Desarrollar Tecnologías de información de vanguardia que  fomenten la eficiencia y eficacia de los servicios que brinda el INAMU a las mujeres.</t>
  </si>
  <si>
    <t>8.3.5 Cantidad y tipo de acciones de coordinación interna</t>
  </si>
  <si>
    <t>Programa Conducción Político Estratégica</t>
  </si>
  <si>
    <t>8.3.3 Aumento del 2% anual en el porcentaje de cobertura  de los siguientes servicios en las regiones priorizadas:
*Información y orientación de derechos de las mujeres
*Emprendedurismo y empresariedad de las mujeres
*Atención y prevención de la violencia contra las mujeres
(regiones priorizadas: Chorotega, Huetar Caribe, Pacífico Central y Brunca)</t>
  </si>
  <si>
    <t>8.3.2 Sistemas de seguimiento regional a los planes, programas y proyectos comprometidos por las instituciones en el marco de los planes de acción  PIEG PLANOVI .</t>
  </si>
  <si>
    <t>8.3.1 Cantidad de alianzas formales y legales (público-públicas y público-privadas) en ejecución en el marco de las políticas PIEG y PLANOVI, según región del INAMU.</t>
  </si>
  <si>
    <t>8.1.2 Cantidad anual de manuales de procedimientos nuevos, actualizados y  aprobados .</t>
  </si>
  <si>
    <t>8.1.1 Rediseñados y con manual de procedimiento aprobados, los siguientes procesos técnicos, administrativos y de conducción política estratégica
1. Proceso Capacitación y Formación
2. Proceso Asesoría Técnica en Género
3. Proceso incidencia para la  gest</t>
  </si>
  <si>
    <t xml:space="preserve">8. Redefinir los procesos técnico administrativos institucionales que garanticen el cumplimiento de los objetivos estratégicos </t>
  </si>
  <si>
    <t>7.2.5 Porcentaje de ejecución anual de cumplimiento del Plan de sustitución de vehiculos institucional.</t>
  </si>
  <si>
    <t>Programa Soporte Administrativo
Servicios Generales</t>
  </si>
  <si>
    <t xml:space="preserve">7.2.4 Porcentaje de ejecución anual del plan de mantenimiento preventivo de los vehículos institucionales. </t>
  </si>
  <si>
    <t xml:space="preserve">7.2.3 Porcentaje anual de cumplimiento de la cartera de proyectos de inversión pública institucional.
</t>
  </si>
  <si>
    <t>7.2.2 Porcentaje de sedes del INAMU que cuentan con todos los servicios públicos subcontratados (que son necesarios.)
Definir claramente en la ficha que son "todos los servicos públicos."</t>
  </si>
  <si>
    <t xml:space="preserve">7.2.1 Porcentaje de ejecución anual del plan de mantenimiento y reparaciones a los edificios </t>
  </si>
  <si>
    <t>7.1.6 Porcentaje de Requisiciones de bodegas tramitadas en el tiempo establecido en comparación con el total de solicitudes ingresadas</t>
  </si>
  <si>
    <t>Programa Soporte Administrativo
Proveeduría</t>
  </si>
  <si>
    <t>7.1.5 Porcentaje Anual de rotación del inventario de suministros 
(especificar en nota técnica que es rotación del inventario)</t>
  </si>
  <si>
    <t>7.1.4 Cantidad de Toma fisica total anual de suministros de la Institución ejecutada.</t>
  </si>
  <si>
    <t>7.1.3 Porcentaje Anual de activos nuevos asignados y distribuidos en el plazo establecido, en relación con el total</t>
  </si>
  <si>
    <t>7.1.2 Toma Fisica total anual de activos de la Institución</t>
  </si>
  <si>
    <t xml:space="preserve">7.1.1 Porcentaje de contrataciones adjudicadas en comparación con las ingresadas, según tiempo de adjudicación establecido por tipo de contratación. CD=  LA=   LP=
</t>
  </si>
  <si>
    <t>7. Brindar oportunamente el soporte político-administrativo necesario  para el impulso de los objetivos institucionales</t>
  </si>
  <si>
    <t>6.2.2. Aumentan instituciones del sector público y privado con políticas, planes, programas, lineamientos, directrices, guías u otros de promoción, atención y protección de los derechos sexuales y reproductivos de las mujeres en su diversidad.</t>
  </si>
  <si>
    <t>Incidencia para la  gestión de leyes, normativas y políticas públicas con perspectiva de género</t>
  </si>
  <si>
    <t>6.2.1. Aumentan personas capacitadas de organismos públicos y privados en derechos sexuales y reproductivos con enfoque de género para la atención y promoción del autocontrol y cuidado del cuerpo de las mujeres.</t>
  </si>
  <si>
    <t>Capacitación y formación</t>
  </si>
  <si>
    <t>6.1.2 Cantidad de personas que participan en actividades formativas abiertas (debates, seminarios, foros, etc.) sobre derechos sexuales y reproductivos de las mujeres.</t>
  </si>
  <si>
    <t xml:space="preserve">Producción y difusión de investigaciones y materiales especializadas en género y derechos de las mujeres </t>
  </si>
  <si>
    <t>6.1.1 Aumenta cantidad de mujeres capacitadas en derechos sexuales y reproductivos para el autocontrol y cuidado de su cuerpo.</t>
  </si>
  <si>
    <t>6. Promover el ejercicio y la defensa de los derechos sexuales y reproductivos de las mujeres en su diversidad.</t>
  </si>
  <si>
    <t>5.2.2 Aumentan las organizaciones mixtas en todas las regiones que, por primera vez, han sido asesoradas en derechos humanos, paridad en la representación e igualdad efectiva de género y, prevención de la violencia contra las mujeres, según región.</t>
  </si>
  <si>
    <t xml:space="preserve">Asistencia Técnica en género </t>
  </si>
  <si>
    <t xml:space="preserve">5.2.1 Aumentan las organizaciones de mujeres en todas las regiones que, por primera vez, han sido asesoradas en derechos humanos, paridad en la representación e igualdad efectiva de género y, prevención de la violencia contra las mujeres en el ámbito político. </t>
  </si>
  <si>
    <t xml:space="preserve">5.1.3 Cantidad de organizaciones políticas y sociales que cuentan con lineamientos y protocolos de igualdad y paridad
</t>
  </si>
  <si>
    <t>5.1.2. Aumenta cantidad de mujeres de organizaciones políticas y sociales capacitadas y asesoradas, por primera vez, en cualquiera de los siguientes temas: en participación política paritaria, violencia hacia las mujeres en la política e  incidencia política para la gestión de leyes y políticas públicas nacionales y locales, según región y con respecto a la línea base 2018.</t>
  </si>
  <si>
    <t>5.1.1 Aumenta cantidad de mujeres lideresas capacitadas y asesoradas en Derechos humanos, liderazgo transformador e incidencia para la igualdad de género, según región y con respecto a la línea base 2018.</t>
  </si>
  <si>
    <t>5. Fortalecer a  las mujeres diversas en su empoderamiento, liderazgo, autocuidado y bienestar; así como a organizaciones sociales, articulando iniciativas para el disfrute de su ciudadanía plena.</t>
  </si>
  <si>
    <t>4.1.8. Aumento en la cantidad de Redes Locales de Atención y Prevención de la VcM-VIF, que cumplen con el "Marco de Funcionamiento de las Redes Locales 2018", según región/cantón</t>
  </si>
  <si>
    <t>4.1.7. Cantidad de municipalidades con planes municipales para la prevención y atención de la VcM, según región/CANTÓN</t>
  </si>
  <si>
    <t>4.1.6   Cantidad anual de mujeres en riesgo de femicidio que utilizan servicios y recursos preventivos del INAMU por primera vez.(Kits, CEAAM)</t>
  </si>
  <si>
    <t xml:space="preserve">Servicios de Atención directa a mujeres víctimas de violencia </t>
  </si>
  <si>
    <t>4.1.5 Cantidad de grupos de autoayuda para mujeres víctimas de violencia según región/cantón</t>
  </si>
  <si>
    <t xml:space="preserve">4.1.4 Porcentaje de mujeres víctimas de violencia que reciben servicios de patrocinio legal gratuito a través de las  Defensorías Sociales  según región, respecto al 2018.
</t>
  </si>
  <si>
    <t>4.1.3 Cantidad de personas funcionarias del SNVcM, municipalidad y empresas que reciben acciones formativas para la atención especializada de la VcM, según región/cantón y desagregadas por sexo.</t>
  </si>
  <si>
    <t>4.1.2 Cantidad anual de mujeres víctimas de violencia atendidas en seguimiento, según región/cantón y tipo de servicio (Legal, psicológica y trabajo social)</t>
  </si>
  <si>
    <t>4.1.1.  Cantidad anual de mujeres víctimas de violencia atendidas por primera vez, según región/cantón y tipo de servicio (Legal, psicológica y trabajo social)</t>
  </si>
  <si>
    <t xml:space="preserve">4. Propiciar la  protección, prevención y atención  de las mujeres frente a la violencia contra las mujeres en sus distintas manifestaciones, asi como frente a otras formas de discriminación por razones de género.
</t>
  </si>
  <si>
    <t>3.2.3. Instituciones públicas encargadas de la inspección laboral aplicando guías de inspección con enfoques de Derechos Humanos y  género</t>
  </si>
  <si>
    <t>3.2.2. Aumentan empresas con prácticas laborales de igualdad reconocidas (Buenas prácticas, SIGIG y sello)</t>
  </si>
  <si>
    <t xml:space="preserve">3.2.1. Mujeres capacitadas para la defensa y promoción de sus derechos laborales, incluida violencia  en el ámbito laboral. 
</t>
  </si>
  <si>
    <t>3.1.4 Aumento en la cantidad de instituciones con servicios y compromisos firmados para el acceso de las mujeres a los recursos productivos, tecnológicos y económicos, por región</t>
  </si>
  <si>
    <t>3.1.3 Cantidad de entidades financieras públicas y privadas con mecanismos (acciones afirmativas) para el cierre de brecha financiera, a favor de las mujeres.</t>
  </si>
  <si>
    <t>3.1.2.  Cantidad de plataformas interinstitucionales activadas en cada región, que atienden de forma integral a mujeres emprendedoras y empresarias.</t>
  </si>
  <si>
    <t>3.1.1.  Aumenta cantidad de mujeres empresarias en cada una de las fases de la estrategia de empresariedad  que son referidas en el ecosistema empresarial, según región. a/
(incluye FOMUJERES)</t>
  </si>
  <si>
    <t>Servicios de Atención Directa a mujeres en emprendedurismo y empresariedad</t>
  </si>
  <si>
    <t>3. Impulsar el acceso de las mujeres a los recursos productivos, al empleo decente y de calidad, mediante coordinaciones interinstitucionales e intersectorial que favorezcan el desarrollo de su autonomía económica</t>
  </si>
  <si>
    <t xml:space="preserve">2.2.2. Aumentan empresas privadas y organizaciones que son capacitadas en corresponsabilidad social de los cuidados. </t>
  </si>
  <si>
    <t>2.2.1 Cantidad de organizaciones públicas y privadas  de la REDCUDI, con acciones afirmativas para la promoción de la corresponsabilidad social de los cuidados.</t>
  </si>
  <si>
    <t>2.1.1 Aumentan mujeres cuidadoras capacitadas por primera vez, en igualdad de género y corresponsabilidad social de los cuidados.</t>
  </si>
  <si>
    <t>2.Promover la corresponsabilidad social de los cuidados orientada a las personas en situaciones de dependencia y a las personas cuidadoras para procurar una distribución equitativa en las responsabilidades de cuido y en el uso del tiempo</t>
  </si>
  <si>
    <t xml:space="preserve">1.2.4 Cantidad de  instituciones públicas, municipalidades y empresas con programas y proyectos preventivos de la violencia contra las mujeres (VcM) en el ámbito laboral. </t>
  </si>
  <si>
    <t>Programa Cultura de los derechos para la igualdad</t>
  </si>
  <si>
    <t>1.2.3  Cantidad de  hombres capacitados y sensibilizados en masculinidades positivas, con apoyo técnico y financiero del INAMU, en relación con la línea base 2018, en regiones priorizadas del país.</t>
  </si>
  <si>
    <t>1.2.2 Aumentan las mujeres capacitadas, por primera vez, en promoción de la igualdad, erradicación de la cultura machista y medidas de autoayuda, según región.</t>
  </si>
  <si>
    <t>1.2.1. Aumentan las instituciones educativas que incorporan en los contenidos de sus planes, programas y proyectos, el enfoque de igualdad efectiva y de erradicación de la cultura machista (MEP, CENCINAI, Universidades públicas y privadas y el INA).</t>
  </si>
  <si>
    <t>1.1.7. Cantidad de propuestas de normativa legislativa y ejecutiva, favorables a la igualdad y la erradicación de la cultura machista,   elaboradas y gestionadas durante el período.</t>
  </si>
  <si>
    <t>1.1.6. Aumento en la cantidad de mujeres, que en todas las regiones, obtienen información, orientación y coadyuvancias para el ejercicio defensa y protección de sus derechos, en relación LB 2018.</t>
  </si>
  <si>
    <t>Servicios de Atención Directa a mujeres en información y orientación sobre derechos</t>
  </si>
  <si>
    <t>1.1.5. Cantidad de empresas, organizaciones sociales e instituciones asesoradas en estrategias de comunicación para la igualdad efectiva entre mujeres y hombres</t>
  </si>
  <si>
    <t>1.1.4. Aumenta la cantidad de instituciones con mecanismos formalmente establecidos para la promoción de la igualdad y erradicación de la cultura machista (UPIG, OFIM), en relación LB 2018</t>
  </si>
  <si>
    <t>1.1.3. Cantidad de personas que conocen las investigaciones y materiales producidos y publicados por el INAMU anualmente, según sexo y región.</t>
  </si>
  <si>
    <t>1.1.2. Aumentan instituciones que cuentan con políticas, planes y programas para la promoción de la igualdad de género y la erradicación de la cultura machista, asociados a la PIEG y al PLANOVI, en relación LB 2018</t>
  </si>
  <si>
    <t>1.1.1 Aumentan personas funcionarias (nueva ficha de inscripción),  con conocimiento en el enfoque de género y erradicación de la cultura machista, con respecto a línea base 2018</t>
  </si>
  <si>
    <t>1. Promover el cambio cultural para la igualdad de derechos entre mujeres y hombres, mediante la generación de estrategias públicas y privadas de comunicación, información, educación y movilización.</t>
  </si>
  <si>
    <t>PRESUPUESTO ESTIMADO</t>
  </si>
  <si>
    <t>META 2019</t>
  </si>
  <si>
    <t>INDICADOR DE PRODUCTO</t>
  </si>
  <si>
    <t>PRODUCTO</t>
  </si>
  <si>
    <t>OBJETIVO ESTRATÉGICO</t>
  </si>
  <si>
    <t>INAMU. SÍNTESIS ESTRATÉGICA 2019-2030 CON METAS Y PRESUPUESTO PARA EL AÑO 2019</t>
  </si>
  <si>
    <t>AD</t>
  </si>
  <si>
    <t xml:space="preserve">Propuestas normativas= 30       
Codyuvancias=25   
Incidencias= 15  </t>
  </si>
  <si>
    <t>Cantidad de propuestas legales, coadyuvancias y asesorías e incidencia que fortalezcan el sistema de protección de derechos de las mujeres, durante el cuatrienio</t>
  </si>
  <si>
    <t>PROGRAMATICO</t>
  </si>
  <si>
    <t>PRESUPUESTARIO</t>
  </si>
  <si>
    <t xml:space="preserve">946: RegCentral
641: R. Brunca
290: R. Chorotega
257: R. Caribe
198: R. Norte
99: R. Pacífico
 </t>
  </si>
  <si>
    <t>3 863: Reg Central
2 102: R. Brunca
2 301: R. Chorotega
2 115: R. Caribe
2 044: R. Norte
1 966: R. Pacífico</t>
  </si>
  <si>
    <r>
      <rPr>
        <b/>
        <sz val="16"/>
        <color theme="1"/>
        <rFont val="Century Gothic"/>
        <family val="2"/>
      </rPr>
      <t xml:space="preserve">Objetivo 1. </t>
    </r>
    <r>
      <rPr>
        <sz val="16"/>
        <color theme="1"/>
        <rFont val="Century Gothic"/>
        <family val="2"/>
      </rPr>
      <t xml:space="preserve"> Desarrollar la autonomía económica de las mujeres y el ejercicio de sus derechos económicos </t>
    </r>
  </si>
  <si>
    <t>SINTESIS DE PERIODO 2015-2018</t>
  </si>
  <si>
    <t xml:space="preserve">10  propuestas normativas
6 monitoreo a 130 proyectos de Ley
36 asesorias en derecho laboral
2 coadyuvancias
15 incidencias </t>
  </si>
  <si>
    <t xml:space="preserve">36 criterios sobre propuestas de ley
124 asesorías
6 coadyuvancias
7 incidencias </t>
  </si>
  <si>
    <t xml:space="preserve">48 propuestas normativas
18 incidencias </t>
  </si>
  <si>
    <t>309 Asesorías
36 criterios a 22 propuestas normativas
21 incidencias
20 coadyuvancias</t>
  </si>
  <si>
    <t>10%
(4095)</t>
  </si>
  <si>
    <t xml:space="preserve">2835: R. Central
243: R. Brunca
326: R. Chorotega
3: R. Pacífico
58: R. Caribe
</t>
  </si>
  <si>
    <t>9,28%
(3801)</t>
  </si>
  <si>
    <t>11,14%
(3308)</t>
  </si>
  <si>
    <t>Propuestas normativas= 120       
Codyuvancias=100   
Incidencias= 60</t>
  </si>
  <si>
    <t>Propuestas normativas= 116  (97%)  
Codyuvancias 36 (36%)
Incidencias= 61 (102%</t>
  </si>
  <si>
    <r>
      <rPr>
        <sz val="16"/>
        <rFont val="Century Gothic"/>
        <family val="2"/>
      </rPr>
      <t>0</t>
    </r>
    <r>
      <rPr>
        <sz val="16"/>
        <color theme="1"/>
        <rFont val="Century Gothic"/>
        <family val="2"/>
      </rPr>
      <t xml:space="preserve">
</t>
    </r>
  </si>
  <si>
    <r>
      <rPr>
        <b/>
        <sz val="16"/>
        <color theme="1"/>
        <rFont val="Century Gothic"/>
        <family val="2"/>
      </rPr>
      <t>19</t>
    </r>
    <r>
      <rPr>
        <sz val="16"/>
        <color theme="1"/>
        <rFont val="Century Gothic"/>
        <family val="2"/>
      </rPr>
      <t xml:space="preserve">
R. Brunca: 2
R. Chorotega: 1
R. Central: 14
R. Caribe: 1
R. Norte: 1</t>
    </r>
  </si>
  <si>
    <r>
      <rPr>
        <b/>
        <sz val="14"/>
        <color theme="1"/>
        <rFont val="Century Gothic"/>
        <family val="2"/>
      </rPr>
      <t>Objetivo 3.</t>
    </r>
    <r>
      <rPr>
        <sz val="14"/>
        <color theme="1"/>
        <rFont val="Century Gothic"/>
        <family val="2"/>
      </rPr>
      <t xml:space="preserve"> Desarrollar el ejercicio de la paridad con enfoque género en la participación de las mujeres en los distintos niveles y espacios de representación</t>
    </r>
  </si>
  <si>
    <r>
      <rPr>
        <b/>
        <sz val="14"/>
        <color theme="1"/>
        <rFont val="Century Gothic"/>
        <family val="2"/>
      </rPr>
      <t>Objetivo 4.</t>
    </r>
    <r>
      <rPr>
        <sz val="14"/>
        <color theme="1"/>
        <rFont val="Century Gothic"/>
        <family val="2"/>
      </rPr>
      <t xml:space="preserve"> Aumentar las capacidades personales y sociales  de las mujeres de todas las edades para el cuidado y control de su cuerpo, con énfasis en salud sexual y salud reproductiva, priorizadas según el Consenso de Montevideo-</t>
    </r>
  </si>
  <si>
    <r>
      <rPr>
        <sz val="12"/>
        <rFont val="Century Gothic"/>
        <family val="2"/>
      </rPr>
      <t>8800</t>
    </r>
    <r>
      <rPr>
        <sz val="12"/>
        <color theme="1"/>
        <rFont val="Century Gothic"/>
        <family val="2"/>
      </rPr>
      <t xml:space="preserve">
</t>
    </r>
  </si>
  <si>
    <r>
      <rPr>
        <b/>
        <sz val="14"/>
        <rFont val="Century Gothic"/>
        <family val="2"/>
      </rPr>
      <t>270</t>
    </r>
    <r>
      <rPr>
        <sz val="14"/>
        <rFont val="Century Gothic"/>
        <family val="2"/>
      </rPr>
      <t xml:space="preserve">
164: R. Central
106: R.Caribe</t>
    </r>
  </si>
  <si>
    <r>
      <rPr>
        <b/>
        <sz val="14"/>
        <color theme="1"/>
        <rFont val="Century Gothic"/>
        <family val="2"/>
      </rPr>
      <t>887</t>
    </r>
    <r>
      <rPr>
        <sz val="14"/>
        <color theme="1"/>
        <rFont val="Century Gothic"/>
        <family val="2"/>
      </rPr>
      <t xml:space="preserve">
453: Cantidades
reportadas para
varias zonas, no se
especifica
150: R. Brunca
91: R. Chorotega
151: R. Pacífico
42: R. Norte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</si>
</sst>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quot;₡&quot;* #,##0_-;_-&quot;₡&quot;* &quot;-&quot;_-;_-@_-"/>
    <numFmt numFmtId="43" formatCode="_-* #,##0.00_-;\-* #,##0.00_-;_-* &quot;-&quot;??_-;_-@_-"/>
    <numFmt numFmtId="164" formatCode="_(* #,##0.00_);_(* \(#,##0.00\);_(* &quot;-&quot;??_);_(@_)"/>
    <numFmt numFmtId="165" formatCode="_(* #,##0.0_);_(* \(#,##0.0\);_(* &quot;-&quot;??_);_(@_)"/>
    <numFmt numFmtId="166" formatCode="[$₡-140A]#,##0"/>
    <numFmt numFmtId="167" formatCode="_ * #,##0.00_ ;_ * \-#,##0.00_ ;_ * &quot;-&quot;??_ ;_ @_ "/>
    <numFmt numFmtId="168" formatCode="0.0%"/>
    <numFmt numFmtId="169" formatCode="0.0"/>
    <numFmt numFmtId="171" formatCode="_-[$₡-140A]* #,##0.00_-;\-[$₡-140A]* #,##0.00_-;_-[$₡-140A]* &quot;-&quot;??_-;_-@_-"/>
    <numFmt numFmtId="173" formatCode="&quot;₡&quot;#,##0;&quot;₡&quot;\-#,##0"/>
    <numFmt numFmtId="174" formatCode="&quot;₡&quot;#,##0"/>
  </numFmts>
  <fonts count="38"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b/>
      <sz val="11"/>
      <color rgb="FFFF0000"/>
      <name val="Calibri"/>
      <family val="2"/>
      <scheme val="minor"/>
    </font>
    <font>
      <sz val="12"/>
      <name val="Arial"/>
      <family val="2"/>
    </font>
    <font>
      <b/>
      <sz val="12"/>
      <color theme="1"/>
      <name val="Arial"/>
      <family val="2"/>
    </font>
    <font>
      <sz val="12"/>
      <color theme="1"/>
      <name val="Arial"/>
      <family val="2"/>
    </font>
    <font>
      <b/>
      <sz val="12"/>
      <name val="Arial"/>
      <family val="2"/>
    </font>
    <font>
      <b/>
      <sz val="12"/>
      <color rgb="FFFF0000"/>
      <name val="Arial"/>
      <family val="2"/>
    </font>
    <font>
      <i/>
      <sz val="12"/>
      <color theme="1"/>
      <name val="Arial"/>
      <family val="2"/>
    </font>
    <font>
      <b/>
      <sz val="11"/>
      <color theme="1"/>
      <name val="Arial"/>
      <family val="2"/>
    </font>
    <font>
      <b/>
      <sz val="9"/>
      <color theme="1"/>
      <name val="Arial"/>
      <family val="2"/>
    </font>
    <font>
      <b/>
      <sz val="16"/>
      <color theme="1"/>
      <name val="Arial"/>
      <family val="2"/>
    </font>
    <font>
      <sz val="16"/>
      <color theme="1"/>
      <name val="Arial"/>
      <family val="2"/>
    </font>
    <font>
      <sz val="16"/>
      <name val="Arial"/>
      <family val="2"/>
    </font>
    <font>
      <sz val="11"/>
      <name val="Arial"/>
      <family val="2"/>
    </font>
    <font>
      <sz val="16"/>
      <color theme="1"/>
      <name val="Century Gothic"/>
      <family val="2"/>
    </font>
    <font>
      <b/>
      <sz val="12"/>
      <color theme="1"/>
      <name val="Century Gothic"/>
      <family val="2"/>
    </font>
    <font>
      <sz val="12"/>
      <color theme="1"/>
      <name val="Century Gothic"/>
      <family val="2"/>
    </font>
    <font>
      <sz val="12"/>
      <name val="Century Gothic"/>
      <family val="2"/>
    </font>
    <font>
      <b/>
      <sz val="12"/>
      <name val="Century Gothic"/>
      <family val="2"/>
    </font>
    <font>
      <b/>
      <sz val="11"/>
      <color theme="1"/>
      <name val="Century Gothic"/>
      <family val="2"/>
    </font>
    <font>
      <b/>
      <sz val="14"/>
      <color theme="1"/>
      <name val="Century Gothic"/>
      <family val="2"/>
    </font>
    <font>
      <sz val="14"/>
      <color theme="1"/>
      <name val="Century Gothic"/>
      <family val="2"/>
    </font>
    <font>
      <sz val="14"/>
      <name val="Century Gothic"/>
      <family val="2"/>
    </font>
    <font>
      <b/>
      <sz val="16"/>
      <color theme="1"/>
      <name val="Century Gothic"/>
      <family val="2"/>
    </font>
    <font>
      <sz val="16"/>
      <name val="Century Gothic"/>
      <family val="2"/>
    </font>
    <font>
      <sz val="18"/>
      <color theme="1"/>
      <name val="Century Gothic"/>
      <family val="2"/>
    </font>
    <font>
      <sz val="11"/>
      <color theme="1"/>
      <name val="Arial"/>
      <family val="2"/>
    </font>
    <font>
      <sz val="11"/>
      <color theme="1"/>
      <name val="Century Gothic"/>
      <family val="2"/>
    </font>
    <font>
      <sz val="8"/>
      <name val="Century Gothic"/>
      <family val="2"/>
    </font>
    <font>
      <sz val="8"/>
      <color theme="1"/>
      <name val="Century Gothic"/>
      <family val="2"/>
    </font>
    <font>
      <sz val="11"/>
      <color theme="0"/>
      <name val="Century Gothic"/>
      <family val="2"/>
    </font>
    <font>
      <b/>
      <sz val="11"/>
      <color theme="0"/>
      <name val="Century Gothic"/>
      <family val="2"/>
    </font>
    <font>
      <b/>
      <sz val="16"/>
      <name val="Century Gothic"/>
      <family val="2"/>
    </font>
    <font>
      <b/>
      <sz val="14"/>
      <name val="Century Gothic"/>
      <family val="2"/>
    </font>
    <font>
      <b/>
      <sz val="18"/>
      <color theme="1"/>
      <name val="Century Gothic"/>
      <family val="2"/>
    </font>
  </fonts>
  <fills count="1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FFFFFF"/>
        <bgColor indexed="64"/>
      </patternFill>
    </fill>
    <fill>
      <patternFill patternType="solid">
        <fgColor theme="4" tint="-0.249977111117893"/>
        <bgColor indexed="64"/>
      </patternFill>
    </fill>
  </fills>
  <borders count="89">
    <border>
      <left/>
      <right/>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ck">
        <color theme="0"/>
      </left>
      <right/>
      <top style="thick">
        <color theme="0"/>
      </top>
      <bottom/>
      <diagonal/>
    </border>
    <border>
      <left style="thin">
        <color auto="1"/>
      </left>
      <right style="thin">
        <color auto="1"/>
      </right>
      <top/>
      <bottom style="thin">
        <color auto="1"/>
      </bottom>
      <diagonal/>
    </border>
    <border>
      <left/>
      <right/>
      <top/>
      <bottom style="medium">
        <color indexed="64"/>
      </bottom>
      <diagonal/>
    </border>
    <border>
      <left/>
      <right/>
      <top/>
      <bottom style="hair">
        <color indexed="64"/>
      </bottom>
      <diagonal/>
    </border>
    <border>
      <left style="medium">
        <color indexed="64"/>
      </left>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medium">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auto="1"/>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hair">
        <color indexed="64"/>
      </left>
      <right style="medium">
        <color indexed="64"/>
      </right>
      <top style="hair">
        <color indexed="64"/>
      </top>
      <bottom/>
      <diagonal/>
    </border>
    <border>
      <left/>
      <right style="thin">
        <color auto="1"/>
      </right>
      <top style="medium">
        <color indexed="64"/>
      </top>
      <bottom style="medium">
        <color indexed="64"/>
      </bottom>
      <diagonal/>
    </border>
    <border>
      <left style="hair">
        <color indexed="64"/>
      </left>
      <right style="hair">
        <color indexed="64"/>
      </right>
      <top style="hair">
        <color indexed="64"/>
      </top>
      <bottom/>
      <diagonal/>
    </border>
    <border>
      <left style="medium">
        <color indexed="64"/>
      </left>
      <right style="hair">
        <color indexed="64"/>
      </right>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hair">
        <color indexed="64"/>
      </left>
      <right/>
      <top style="medium">
        <color indexed="64"/>
      </top>
      <bottom style="medium">
        <color indexed="64"/>
      </bottom>
      <diagonal/>
    </border>
    <border>
      <left style="thin">
        <color auto="1"/>
      </left>
      <right style="thin">
        <color auto="1"/>
      </right>
      <top/>
      <bottom style="medium">
        <color indexed="64"/>
      </bottom>
      <diagonal/>
    </border>
    <border>
      <left style="medium">
        <color indexed="64"/>
      </left>
      <right style="thin">
        <color auto="1"/>
      </right>
      <top/>
      <bottom style="thin">
        <color auto="1"/>
      </bottom>
      <diagonal/>
    </border>
    <border>
      <left/>
      <right style="medium">
        <color indexed="64"/>
      </right>
      <top/>
      <bottom style="thin">
        <color auto="1"/>
      </bottom>
      <diagonal/>
    </border>
    <border>
      <left style="thin">
        <color auto="1"/>
      </left>
      <right/>
      <top style="thin">
        <color auto="1"/>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hair">
        <color indexed="64"/>
      </left>
      <right/>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bottom style="hair">
        <color indexed="64"/>
      </bottom>
      <diagonal/>
    </border>
    <border>
      <left/>
      <right style="hair">
        <color indexed="64"/>
      </right>
      <top/>
      <bottom style="medium">
        <color indexed="64"/>
      </bottom>
      <diagonal/>
    </border>
    <border>
      <left style="thin">
        <color auto="1"/>
      </left>
      <right/>
      <top/>
      <bottom style="medium">
        <color indexed="64"/>
      </bottom>
      <diagonal/>
    </border>
    <border>
      <left style="thin">
        <color auto="1"/>
      </left>
      <right/>
      <top style="medium">
        <color indexed="64"/>
      </top>
      <bottom/>
      <diagonal/>
    </border>
  </borders>
  <cellStyleXfs count="17">
    <xf numFmtId="0" fontId="0" fillId="0" borderId="0"/>
    <xf numFmtId="164" fontId="1" fillId="0" borderId="0" applyFont="0" applyFill="0" applyBorder="0" applyAlignment="0" applyProtection="0"/>
    <xf numFmtId="166" fontId="1" fillId="0" borderId="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41">
    <xf numFmtId="0" fontId="0" fillId="0" borderId="0" xfId="0"/>
    <xf numFmtId="0" fontId="7" fillId="0" borderId="0" xfId="0" applyFont="1" applyAlignment="1">
      <alignment horizontal="lef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0" borderId="10" xfId="0" applyFont="1" applyBorder="1" applyAlignment="1">
      <alignment vertical="center" wrapText="1"/>
    </xf>
    <xf numFmtId="0" fontId="6" fillId="0" borderId="0" xfId="0" applyFont="1" applyFill="1" applyBorder="1" applyAlignment="1">
      <alignment horizontal="left" vertical="center" wrapText="1"/>
    </xf>
    <xf numFmtId="0" fontId="6" fillId="0" borderId="0" xfId="0" applyFont="1" applyAlignment="1">
      <alignment horizontal="left" vertical="center" wrapText="1"/>
    </xf>
    <xf numFmtId="0" fontId="5" fillId="3" borderId="33" xfId="0" applyFont="1" applyFill="1" applyBorder="1" applyAlignment="1">
      <alignment horizontal="left" vertical="top" wrapText="1"/>
    </xf>
    <xf numFmtId="9" fontId="5" fillId="4" borderId="3" xfId="3" applyNumberFormat="1" applyFont="1" applyFill="1" applyBorder="1" applyAlignment="1" applyProtection="1">
      <alignment horizontal="center" vertical="top" wrapText="1"/>
    </xf>
    <xf numFmtId="9" fontId="5" fillId="0" borderId="3" xfId="0" applyNumberFormat="1" applyFont="1" applyFill="1" applyBorder="1" applyAlignment="1">
      <alignment horizontal="center" vertical="top" wrapText="1"/>
    </xf>
    <xf numFmtId="9" fontId="8" fillId="0" borderId="3" xfId="9" applyFont="1" applyFill="1" applyBorder="1" applyAlignment="1">
      <alignment horizontal="center" vertical="top" wrapText="1"/>
    </xf>
    <xf numFmtId="9" fontId="8" fillId="0" borderId="3" xfId="9" applyFont="1" applyBorder="1" applyAlignment="1">
      <alignment horizontal="center" vertical="top" wrapText="1"/>
    </xf>
    <xf numFmtId="9" fontId="8" fillId="0" borderId="3" xfId="0" applyNumberFormat="1" applyFont="1" applyFill="1" applyBorder="1" applyAlignment="1">
      <alignment horizontal="center" vertical="top" wrapText="1"/>
    </xf>
    <xf numFmtId="0" fontId="7" fillId="0" borderId="0" xfId="0" applyFont="1" applyFill="1" applyBorder="1" applyAlignment="1">
      <alignment horizontal="left" vertical="top" wrapText="1"/>
    </xf>
    <xf numFmtId="10" fontId="5" fillId="4" borderId="3" xfId="3" applyNumberFormat="1" applyFont="1" applyFill="1" applyBorder="1" applyAlignment="1" applyProtection="1">
      <alignment horizontal="center" vertical="top" wrapText="1"/>
    </xf>
    <xf numFmtId="10" fontId="5" fillId="4" borderId="3" xfId="9" applyNumberFormat="1" applyFont="1" applyFill="1" applyBorder="1" applyAlignment="1" applyProtection="1">
      <alignment horizontal="center" vertical="top" wrapText="1"/>
    </xf>
    <xf numFmtId="9" fontId="5" fillId="0" borderId="3" xfId="9" applyFont="1" applyFill="1" applyBorder="1" applyAlignment="1">
      <alignment horizontal="center" vertical="top" wrapText="1"/>
    </xf>
    <xf numFmtId="10" fontId="5" fillId="0" borderId="3" xfId="9" applyNumberFormat="1" applyFont="1" applyFill="1" applyBorder="1" applyAlignment="1" applyProtection="1">
      <alignment horizontal="center" vertical="top" wrapText="1"/>
    </xf>
    <xf numFmtId="10" fontId="5" fillId="0" borderId="3" xfId="2" applyNumberFormat="1" applyFont="1" applyFill="1" applyBorder="1" applyAlignment="1" applyProtection="1">
      <alignment horizontal="center" vertical="top" wrapText="1"/>
    </xf>
    <xf numFmtId="10" fontId="5" fillId="0" borderId="3" xfId="3" applyNumberFormat="1" applyFont="1" applyFill="1" applyBorder="1" applyAlignment="1" applyProtection="1">
      <alignment horizontal="center" vertical="top" wrapText="1"/>
    </xf>
    <xf numFmtId="0" fontId="5" fillId="0" borderId="3" xfId="0" applyFont="1" applyFill="1" applyBorder="1" applyAlignment="1">
      <alignment horizontal="center" vertical="top" wrapText="1"/>
    </xf>
    <xf numFmtId="10" fontId="5" fillId="4" borderId="3" xfId="2" applyNumberFormat="1" applyFont="1" applyFill="1" applyBorder="1" applyAlignment="1" applyProtection="1">
      <alignment horizontal="center" vertical="top" wrapText="1"/>
    </xf>
    <xf numFmtId="0" fontId="8" fillId="3" borderId="33" xfId="0" applyFont="1" applyFill="1" applyBorder="1" applyAlignment="1">
      <alignment horizontal="left" vertical="top" wrapText="1"/>
    </xf>
    <xf numFmtId="10" fontId="5" fillId="4" borderId="3" xfId="0" applyNumberFormat="1" applyFont="1" applyFill="1" applyBorder="1" applyAlignment="1">
      <alignment horizontal="center" vertical="top" wrapText="1"/>
    </xf>
    <xf numFmtId="10" fontId="5" fillId="0" borderId="3" xfId="0" applyNumberFormat="1" applyFont="1" applyFill="1" applyBorder="1" applyAlignment="1">
      <alignment horizontal="center" vertical="top" wrapText="1"/>
    </xf>
    <xf numFmtId="0" fontId="5" fillId="0" borderId="3" xfId="0" applyFont="1" applyFill="1" applyBorder="1" applyAlignment="1">
      <alignment horizontal="left" vertical="top" wrapText="1"/>
    </xf>
    <xf numFmtId="9" fontId="8" fillId="0" borderId="34" xfId="9" applyFont="1" applyBorder="1" applyAlignment="1">
      <alignment vertical="top" wrapText="1"/>
    </xf>
    <xf numFmtId="0" fontId="7" fillId="0" borderId="0" xfId="0" applyFont="1"/>
    <xf numFmtId="9" fontId="5" fillId="0" borderId="0" xfId="0" applyNumberFormat="1" applyFont="1" applyAlignment="1">
      <alignment horizontal="center" vertical="top" wrapText="1"/>
    </xf>
    <xf numFmtId="0" fontId="9" fillId="0" borderId="0" xfId="0" applyFont="1" applyFill="1" applyAlignment="1">
      <alignment horizontal="left" vertical="top" wrapText="1"/>
    </xf>
    <xf numFmtId="9" fontId="7" fillId="0" borderId="3" xfId="9" applyFont="1" applyFill="1" applyBorder="1" applyAlignment="1">
      <alignment horizontal="center" vertical="top" wrapText="1"/>
    </xf>
    <xf numFmtId="9" fontId="7" fillId="0" borderId="3" xfId="0" applyNumberFormat="1" applyFont="1" applyFill="1" applyBorder="1" applyAlignment="1">
      <alignment horizontal="center" vertical="top" wrapText="1"/>
    </xf>
    <xf numFmtId="10" fontId="5" fillId="4" borderId="3" xfId="3" applyNumberFormat="1" applyFont="1" applyFill="1" applyBorder="1" applyAlignment="1" applyProtection="1">
      <alignment horizontal="left" vertical="top" wrapText="1"/>
    </xf>
    <xf numFmtId="1" fontId="5" fillId="0" borderId="3" xfId="0" applyNumberFormat="1" applyFont="1" applyFill="1" applyBorder="1" applyAlignment="1">
      <alignment horizontal="center" vertical="top" wrapText="1"/>
    </xf>
    <xf numFmtId="9" fontId="7" fillId="0" borderId="0" xfId="0" applyNumberFormat="1" applyFont="1" applyAlignment="1">
      <alignment horizontal="left" vertical="top" wrapText="1"/>
    </xf>
    <xf numFmtId="10" fontId="7" fillId="5" borderId="3" xfId="0" applyNumberFormat="1" applyFont="1" applyFill="1" applyBorder="1" applyAlignment="1">
      <alignment horizontal="center" vertical="top" wrapText="1"/>
    </xf>
    <xf numFmtId="9" fontId="5" fillId="5" borderId="3" xfId="9" applyFont="1" applyFill="1" applyBorder="1" applyAlignment="1" applyProtection="1">
      <alignment horizontal="left" vertical="top" wrapText="1"/>
      <protection locked="0"/>
    </xf>
    <xf numFmtId="10" fontId="5" fillId="0" borderId="0" xfId="0" applyNumberFormat="1" applyFont="1" applyAlignment="1">
      <alignment horizontal="center" vertical="top" wrapText="1"/>
    </xf>
    <xf numFmtId="0" fontId="5" fillId="0" borderId="0" xfId="0" applyFont="1" applyAlignment="1">
      <alignment horizontal="center" vertical="top" wrapText="1"/>
    </xf>
    <xf numFmtId="0" fontId="8" fillId="0" borderId="0" xfId="0" applyFont="1" applyAlignment="1">
      <alignment horizontal="center" vertical="top" wrapText="1"/>
    </xf>
    <xf numFmtId="9" fontId="8" fillId="0" borderId="0" xfId="9" applyFont="1" applyAlignment="1">
      <alignment horizontal="center" vertical="top" wrapText="1"/>
    </xf>
    <xf numFmtId="10" fontId="7" fillId="0" borderId="0" xfId="0" applyNumberFormat="1" applyFont="1" applyAlignment="1">
      <alignment horizontal="center" vertical="top" wrapText="1"/>
    </xf>
    <xf numFmtId="0" fontId="7" fillId="0" borderId="0" xfId="0" applyFont="1" applyAlignment="1">
      <alignment horizontal="center" vertical="top" wrapText="1"/>
    </xf>
    <xf numFmtId="0" fontId="6" fillId="0" borderId="0" xfId="0" applyFont="1" applyAlignment="1">
      <alignment horizontal="center" vertical="top" wrapText="1"/>
    </xf>
    <xf numFmtId="9" fontId="6" fillId="0" borderId="0" xfId="9" applyFont="1" applyAlignment="1">
      <alignment horizontal="center" vertical="top" wrapText="1"/>
    </xf>
    <xf numFmtId="165" fontId="5" fillId="0" borderId="5" xfId="1" applyNumberFormat="1" applyFont="1" applyFill="1" applyBorder="1" applyAlignment="1">
      <alignment horizontal="center" vertical="top" wrapText="1"/>
    </xf>
    <xf numFmtId="165" fontId="5" fillId="0" borderId="5" xfId="1" applyNumberFormat="1" applyFont="1" applyFill="1" applyBorder="1" applyAlignment="1">
      <alignment horizontal="right" vertical="top" wrapText="1"/>
    </xf>
    <xf numFmtId="0" fontId="7" fillId="0" borderId="0" xfId="0" applyFont="1" applyAlignment="1">
      <alignment horizontal="center" vertical="center" wrapText="1"/>
    </xf>
    <xf numFmtId="9" fontId="7" fillId="0" borderId="0" xfId="9" applyFont="1" applyAlignment="1">
      <alignment horizontal="left" vertical="top" wrapText="1"/>
    </xf>
    <xf numFmtId="0" fontId="7" fillId="0" borderId="0" xfId="0" applyFont="1" applyAlignment="1">
      <alignment horizontal="right" vertical="top" wrapText="1"/>
    </xf>
    <xf numFmtId="0" fontId="7" fillId="0" borderId="0" xfId="0" applyFont="1" applyBorder="1" applyAlignment="1">
      <alignment horizontal="center" vertical="center" wrapText="1"/>
    </xf>
    <xf numFmtId="0" fontId="7" fillId="0" borderId="14" xfId="0" applyFont="1" applyBorder="1" applyAlignment="1">
      <alignment horizontal="left" vertical="top" wrapText="1"/>
    </xf>
    <xf numFmtId="0" fontId="7" fillId="0" borderId="8" xfId="0" applyFont="1" applyBorder="1" applyAlignment="1">
      <alignment horizontal="left" vertical="top" wrapText="1"/>
    </xf>
    <xf numFmtId="9" fontId="7" fillId="0" borderId="8" xfId="9" applyFont="1" applyBorder="1" applyAlignment="1">
      <alignment horizontal="left" vertical="top" wrapText="1"/>
    </xf>
    <xf numFmtId="9" fontId="7" fillId="0" borderId="15" xfId="9" applyFont="1" applyBorder="1" applyAlignment="1">
      <alignment horizontal="left" vertical="top" wrapText="1"/>
    </xf>
    <xf numFmtId="0" fontId="7" fillId="0" borderId="8" xfId="0" applyFont="1" applyFill="1" applyBorder="1" applyAlignment="1">
      <alignment horizontal="center" vertical="top" wrapText="1"/>
    </xf>
    <xf numFmtId="9" fontId="7" fillId="0" borderId="8" xfId="9" applyFont="1" applyFill="1" applyBorder="1" applyAlignment="1">
      <alignment horizontal="center" vertical="top" wrapText="1"/>
    </xf>
    <xf numFmtId="9" fontId="7" fillId="0" borderId="15" xfId="9" applyFont="1" applyFill="1" applyBorder="1" applyAlignment="1">
      <alignment horizontal="center" vertical="top" wrapText="1"/>
    </xf>
    <xf numFmtId="0" fontId="7" fillId="0" borderId="14" xfId="0" applyFont="1" applyFill="1" applyBorder="1" applyAlignment="1">
      <alignment horizontal="center" vertical="top" wrapText="1"/>
    </xf>
    <xf numFmtId="0" fontId="7" fillId="0" borderId="8" xfId="0" applyNumberFormat="1" applyFont="1" applyFill="1" applyBorder="1" applyAlignment="1">
      <alignment horizontal="center" vertical="top" wrapText="1"/>
    </xf>
    <xf numFmtId="42" fontId="7" fillId="0" borderId="8" xfId="0" applyNumberFormat="1" applyFont="1" applyFill="1" applyBorder="1" applyAlignment="1">
      <alignment horizontal="center" vertical="top" wrapText="1"/>
    </xf>
    <xf numFmtId="42" fontId="6" fillId="0" borderId="8" xfId="0" applyNumberFormat="1" applyFont="1" applyFill="1" applyBorder="1" applyAlignment="1">
      <alignment horizontal="center" vertical="top" wrapText="1"/>
    </xf>
    <xf numFmtId="9" fontId="6" fillId="0" borderId="8" xfId="9" applyFont="1" applyFill="1" applyBorder="1" applyAlignment="1">
      <alignment horizontal="center" vertical="top" wrapText="1"/>
    </xf>
    <xf numFmtId="171" fontId="7" fillId="0" borderId="8" xfId="0" applyNumberFormat="1" applyFont="1" applyFill="1" applyBorder="1" applyAlignment="1">
      <alignment horizontal="center" vertical="top" wrapText="1"/>
    </xf>
    <xf numFmtId="9" fontId="7" fillId="0" borderId="42" xfId="0" applyNumberFormat="1" applyFont="1" applyFill="1" applyBorder="1" applyAlignment="1">
      <alignment horizontal="center" vertical="top" wrapText="1"/>
    </xf>
    <xf numFmtId="0" fontId="7" fillId="0" borderId="0" xfId="0" applyFont="1" applyBorder="1" applyAlignment="1">
      <alignment horizontal="left" vertical="top" wrapText="1"/>
    </xf>
    <xf numFmtId="0" fontId="7" fillId="0" borderId="14" xfId="0" applyFont="1" applyFill="1" applyBorder="1" applyAlignment="1">
      <alignment horizontal="left" vertical="top" wrapText="1"/>
    </xf>
    <xf numFmtId="0" fontId="7" fillId="0" borderId="1" xfId="0" applyFont="1" applyBorder="1" applyAlignment="1">
      <alignment horizontal="center" vertical="center" wrapText="1"/>
    </xf>
    <xf numFmtId="0" fontId="7" fillId="0" borderId="15" xfId="0" applyFont="1" applyFill="1" applyBorder="1" applyAlignment="1">
      <alignment horizontal="left" vertical="top" wrapText="1"/>
    </xf>
    <xf numFmtId="0" fontId="7" fillId="0" borderId="38" xfId="0" applyFont="1" applyFill="1" applyBorder="1" applyAlignment="1">
      <alignment horizontal="center" vertical="top" wrapText="1"/>
    </xf>
    <xf numFmtId="0" fontId="7" fillId="0" borderId="8" xfId="0" applyFont="1" applyFill="1" applyBorder="1" applyAlignment="1">
      <alignment horizontal="left" vertical="top" wrapText="1"/>
    </xf>
    <xf numFmtId="9" fontId="7" fillId="0" borderId="15" xfId="9" applyFont="1" applyFill="1" applyBorder="1" applyAlignment="1">
      <alignment horizontal="left" vertical="top" wrapText="1"/>
    </xf>
    <xf numFmtId="0" fontId="7" fillId="0" borderId="14" xfId="0" applyFont="1" applyBorder="1" applyAlignment="1">
      <alignment horizontal="center" vertical="top" wrapText="1"/>
    </xf>
    <xf numFmtId="0" fontId="7" fillId="2" borderId="38" xfId="0" applyFont="1" applyFill="1" applyBorder="1" applyAlignment="1">
      <alignment horizontal="center" vertical="top" wrapText="1"/>
    </xf>
    <xf numFmtId="0" fontId="7" fillId="0" borderId="8" xfId="0" applyFont="1" applyBorder="1" applyAlignment="1">
      <alignment horizontal="right" vertical="top" wrapText="1"/>
    </xf>
    <xf numFmtId="9" fontId="6" fillId="0" borderId="8" xfId="0" applyNumberFormat="1" applyFont="1" applyFill="1" applyBorder="1" applyAlignment="1">
      <alignment horizontal="center" vertical="top" wrapText="1"/>
    </xf>
    <xf numFmtId="0" fontId="5" fillId="0" borderId="8" xfId="0" applyFont="1" applyFill="1" applyBorder="1" applyAlignment="1">
      <alignment horizontal="center" vertical="top" wrapText="1"/>
    </xf>
    <xf numFmtId="9" fontId="6" fillId="0" borderId="8" xfId="9" applyNumberFormat="1" applyFont="1" applyFill="1" applyBorder="1" applyAlignment="1">
      <alignment vertical="top"/>
    </xf>
    <xf numFmtId="9" fontId="7" fillId="0" borderId="8" xfId="0" applyNumberFormat="1" applyFont="1" applyFill="1" applyBorder="1" applyAlignment="1">
      <alignment horizontal="center" vertical="top" wrapText="1"/>
    </xf>
    <xf numFmtId="0" fontId="7" fillId="0" borderId="1" xfId="0" applyFont="1" applyFill="1" applyBorder="1" applyAlignment="1">
      <alignment horizontal="center" vertical="center" wrapText="1"/>
    </xf>
    <xf numFmtId="0" fontId="5" fillId="0" borderId="8" xfId="0" applyFont="1" applyFill="1" applyBorder="1" applyAlignment="1">
      <alignment horizontal="left" vertical="top" wrapText="1"/>
    </xf>
    <xf numFmtId="9" fontId="7" fillId="0" borderId="8" xfId="9" applyFont="1" applyFill="1" applyBorder="1" applyAlignment="1">
      <alignment horizontal="left" vertical="top" wrapText="1"/>
    </xf>
    <xf numFmtId="9" fontId="6" fillId="0" borderId="3" xfId="0" applyNumberFormat="1" applyFont="1" applyFill="1" applyBorder="1" applyAlignment="1">
      <alignment vertical="center" wrapText="1"/>
    </xf>
    <xf numFmtId="0" fontId="7" fillId="0" borderId="0" xfId="0" applyFont="1" applyFill="1" applyAlignment="1">
      <alignment horizontal="left" vertical="top" wrapText="1"/>
    </xf>
    <xf numFmtId="1" fontId="7" fillId="0" borderId="0" xfId="0" applyNumberFormat="1" applyFont="1" applyFill="1" applyAlignment="1">
      <alignment horizontal="left" vertical="top" wrapText="1"/>
    </xf>
    <xf numFmtId="0" fontId="5" fillId="0" borderId="38" xfId="0" applyFont="1" applyFill="1" applyBorder="1" applyAlignment="1">
      <alignment horizontal="center" vertical="top" wrapText="1"/>
    </xf>
    <xf numFmtId="0" fontId="5" fillId="0" borderId="14" xfId="0" applyFont="1" applyFill="1" applyBorder="1" applyAlignment="1">
      <alignment horizontal="left" vertical="top" wrapText="1"/>
    </xf>
    <xf numFmtId="2" fontId="7" fillId="0" borderId="42" xfId="0" applyNumberFormat="1" applyFont="1" applyFill="1" applyBorder="1" applyAlignment="1">
      <alignment horizontal="center" vertical="top" wrapText="1"/>
    </xf>
    <xf numFmtId="0" fontId="7" fillId="0" borderId="8" xfId="9" applyNumberFormat="1" applyFont="1" applyFill="1" applyBorder="1" applyAlignment="1">
      <alignment horizontal="center" vertical="top" wrapText="1"/>
    </xf>
    <xf numFmtId="0" fontId="10" fillId="0" borderId="8" xfId="0" applyFont="1" applyFill="1" applyBorder="1" applyAlignment="1">
      <alignment horizontal="center" vertical="top" wrapText="1"/>
    </xf>
    <xf numFmtId="0" fontId="7" fillId="0" borderId="38" xfId="0" applyFont="1" applyBorder="1" applyAlignment="1">
      <alignment horizontal="center" vertical="top" wrapText="1"/>
    </xf>
    <xf numFmtId="9" fontId="7" fillId="0" borderId="14" xfId="0" applyNumberFormat="1" applyFont="1" applyBorder="1" applyAlignment="1">
      <alignment horizontal="center" vertical="top" wrapText="1"/>
    </xf>
    <xf numFmtId="9" fontId="7" fillId="0" borderId="8" xfId="0" applyNumberFormat="1" applyFont="1" applyBorder="1" applyAlignment="1">
      <alignment horizontal="center" vertical="top" wrapText="1"/>
    </xf>
    <xf numFmtId="168" fontId="7" fillId="0" borderId="8" xfId="0" applyNumberFormat="1" applyFont="1" applyFill="1" applyBorder="1" applyAlignment="1">
      <alignment horizontal="center" vertical="top" wrapText="1"/>
    </xf>
    <xf numFmtId="1" fontId="5" fillId="0" borderId="8" xfId="0" applyNumberFormat="1" applyFont="1" applyFill="1" applyBorder="1" applyAlignment="1">
      <alignment horizontal="center" vertical="top" wrapText="1"/>
    </xf>
    <xf numFmtId="10" fontId="7" fillId="0" borderId="0" xfId="0" applyNumberFormat="1" applyFont="1" applyBorder="1" applyAlignment="1">
      <alignment horizontal="left" vertical="top" wrapText="1"/>
    </xf>
    <xf numFmtId="171" fontId="7" fillId="0" borderId="8" xfId="0" applyNumberFormat="1" applyFont="1" applyFill="1" applyBorder="1" applyAlignment="1">
      <alignment vertical="top" wrapText="1"/>
    </xf>
    <xf numFmtId="9" fontId="7" fillId="0" borderId="43" xfId="0" applyNumberFormat="1" applyFont="1" applyFill="1" applyBorder="1" applyAlignment="1">
      <alignment horizontal="center" vertical="top" wrapText="1"/>
    </xf>
    <xf numFmtId="9" fontId="6" fillId="0" borderId="3" xfId="9" applyFont="1" applyFill="1" applyBorder="1" applyAlignment="1">
      <alignment horizontal="center" vertical="top" wrapText="1"/>
    </xf>
    <xf numFmtId="9" fontId="7" fillId="0" borderId="8" xfId="9" applyNumberFormat="1" applyFont="1" applyFill="1" applyBorder="1" applyAlignment="1">
      <alignment horizontal="center" vertical="top" wrapText="1"/>
    </xf>
    <xf numFmtId="0" fontId="5" fillId="0" borderId="15" xfId="0" applyFont="1" applyFill="1" applyBorder="1" applyAlignment="1">
      <alignment vertical="top" wrapText="1"/>
    </xf>
    <xf numFmtId="0" fontId="5" fillId="0" borderId="14" xfId="0" applyFont="1" applyFill="1" applyBorder="1" applyAlignment="1">
      <alignment vertical="top" wrapText="1"/>
    </xf>
    <xf numFmtId="0" fontId="5" fillId="0" borderId="8" xfId="0" applyFont="1" applyFill="1" applyBorder="1" applyAlignment="1">
      <alignment vertical="top" wrapText="1"/>
    </xf>
    <xf numFmtId="0" fontId="5" fillId="2" borderId="38" xfId="0" applyFont="1" applyFill="1" applyBorder="1" applyAlignment="1">
      <alignment horizontal="center" vertical="top" wrapText="1"/>
    </xf>
    <xf numFmtId="0" fontId="6" fillId="0" borderId="8" xfId="0" applyFont="1" applyFill="1" applyBorder="1" applyAlignment="1">
      <alignment horizontal="center" vertical="top" wrapText="1"/>
    </xf>
    <xf numFmtId="0" fontId="5" fillId="3" borderId="17" xfId="0" applyFont="1" applyFill="1" applyBorder="1" applyAlignment="1">
      <alignment horizontal="left" vertical="top" wrapText="1"/>
    </xf>
    <xf numFmtId="0" fontId="5" fillId="0" borderId="18" xfId="0" applyFont="1" applyFill="1" applyBorder="1" applyAlignment="1">
      <alignment vertical="top" wrapText="1"/>
    </xf>
    <xf numFmtId="0" fontId="5" fillId="0" borderId="39" xfId="0" applyFont="1" applyFill="1" applyBorder="1" applyAlignment="1">
      <alignment horizontal="center" vertical="top" wrapText="1"/>
    </xf>
    <xf numFmtId="0" fontId="5" fillId="0" borderId="16" xfId="0" applyFont="1" applyFill="1" applyBorder="1" applyAlignment="1">
      <alignment vertical="top" wrapText="1"/>
    </xf>
    <xf numFmtId="0" fontId="5" fillId="0" borderId="17" xfId="0" applyFont="1" applyFill="1" applyBorder="1" applyAlignment="1">
      <alignment vertical="top" wrapText="1"/>
    </xf>
    <xf numFmtId="9" fontId="7" fillId="0" borderId="17" xfId="9" applyFont="1" applyBorder="1" applyAlignment="1">
      <alignment horizontal="left" vertical="top" wrapText="1"/>
    </xf>
    <xf numFmtId="9" fontId="7" fillId="0" borderId="18" xfId="9" applyFont="1" applyFill="1" applyBorder="1" applyAlignment="1">
      <alignment horizontal="left" vertical="top" wrapText="1"/>
    </xf>
    <xf numFmtId="0" fontId="7" fillId="0" borderId="16" xfId="0" applyFont="1" applyBorder="1" applyAlignment="1">
      <alignment horizontal="center" vertical="top" wrapText="1"/>
    </xf>
    <xf numFmtId="0" fontId="7" fillId="0" borderId="17" xfId="0" applyFont="1" applyFill="1" applyBorder="1" applyAlignment="1">
      <alignment horizontal="center" vertical="top" wrapText="1"/>
    </xf>
    <xf numFmtId="9" fontId="7" fillId="0" borderId="17" xfId="9" applyFont="1" applyFill="1" applyBorder="1" applyAlignment="1">
      <alignment horizontal="center" vertical="top" wrapText="1"/>
    </xf>
    <xf numFmtId="9" fontId="7" fillId="0" borderId="18" xfId="9" applyFont="1" applyFill="1" applyBorder="1" applyAlignment="1">
      <alignment horizontal="center" vertical="top" wrapText="1"/>
    </xf>
    <xf numFmtId="9" fontId="6" fillId="0" borderId="17" xfId="0" applyNumberFormat="1" applyFont="1" applyFill="1" applyBorder="1" applyAlignment="1">
      <alignment horizontal="center" vertical="top" wrapText="1"/>
    </xf>
    <xf numFmtId="171" fontId="7" fillId="0" borderId="17" xfId="0" applyNumberFormat="1" applyFont="1" applyFill="1" applyBorder="1" applyAlignment="1">
      <alignment horizontal="center" vertical="top" wrapText="1"/>
    </xf>
    <xf numFmtId="9" fontId="7" fillId="0" borderId="44" xfId="0" applyNumberFormat="1" applyFont="1" applyFill="1" applyBorder="1" applyAlignment="1">
      <alignment horizontal="center" vertical="top" wrapText="1"/>
    </xf>
    <xf numFmtId="0" fontId="7" fillId="0" borderId="0" xfId="0" applyFont="1" applyBorder="1" applyAlignment="1">
      <alignment horizontal="center" vertical="top" wrapText="1"/>
    </xf>
    <xf numFmtId="9" fontId="7" fillId="0" borderId="36" xfId="9" applyFont="1" applyFill="1" applyBorder="1" applyAlignment="1">
      <alignment horizontal="center" vertical="top" wrapText="1"/>
    </xf>
    <xf numFmtId="9" fontId="7" fillId="0" borderId="35" xfId="9" applyFont="1" applyFill="1" applyBorder="1" applyAlignment="1">
      <alignment horizontal="center" vertical="top" wrapText="1"/>
    </xf>
    <xf numFmtId="0" fontId="7" fillId="0" borderId="4" xfId="0" applyFont="1" applyBorder="1" applyAlignment="1">
      <alignment horizontal="left" vertical="top" wrapText="1"/>
    </xf>
    <xf numFmtId="10" fontId="6" fillId="6" borderId="3" xfId="0" applyNumberFormat="1" applyFont="1" applyFill="1" applyBorder="1" applyAlignment="1">
      <alignment horizontal="center" vertical="top" wrapText="1"/>
    </xf>
    <xf numFmtId="0" fontId="7" fillId="6" borderId="0" xfId="0" applyFont="1" applyFill="1" applyAlignment="1">
      <alignment horizontal="center" vertical="center" wrapText="1"/>
    </xf>
    <xf numFmtId="9" fontId="6" fillId="6" borderId="29" xfId="9" applyFont="1" applyFill="1" applyBorder="1" applyAlignment="1">
      <alignment horizontal="center" vertical="center" wrapText="1"/>
    </xf>
    <xf numFmtId="0" fontId="6" fillId="6" borderId="24"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6" fillId="6" borderId="26" xfId="0" applyFont="1" applyFill="1" applyBorder="1" applyAlignment="1">
      <alignment horizontal="center" vertical="center" wrapText="1"/>
    </xf>
    <xf numFmtId="0" fontId="6" fillId="6" borderId="25" xfId="0" applyFont="1" applyFill="1" applyBorder="1" applyAlignment="1">
      <alignment horizontal="center" vertical="center" wrapText="1"/>
    </xf>
    <xf numFmtId="9" fontId="6" fillId="6" borderId="25" xfId="9" applyFont="1" applyFill="1" applyBorder="1" applyAlignment="1">
      <alignment horizontal="center" vertical="center" wrapText="1"/>
    </xf>
    <xf numFmtId="9" fontId="6" fillId="6" borderId="19" xfId="9" applyFont="1" applyFill="1" applyBorder="1" applyAlignment="1">
      <alignment horizontal="center" vertical="center" wrapText="1"/>
    </xf>
    <xf numFmtId="0" fontId="6" fillId="6" borderId="28" xfId="0" applyFont="1" applyFill="1" applyBorder="1" applyAlignment="1">
      <alignment horizontal="center" vertical="center" wrapText="1"/>
    </xf>
    <xf numFmtId="0" fontId="6" fillId="6" borderId="27" xfId="0" applyFont="1" applyFill="1" applyBorder="1" applyAlignment="1">
      <alignment horizontal="center" vertical="center" wrapText="1"/>
    </xf>
    <xf numFmtId="9" fontId="8" fillId="0" borderId="34" xfId="9" applyFont="1" applyBorder="1" applyAlignment="1">
      <alignment horizontal="center" vertical="top" wrapText="1"/>
    </xf>
    <xf numFmtId="171" fontId="6" fillId="6" borderId="3" xfId="0" applyNumberFormat="1" applyFont="1" applyFill="1" applyBorder="1" applyAlignment="1">
      <alignment horizontal="center" vertical="top" wrapText="1"/>
    </xf>
    <xf numFmtId="171" fontId="5" fillId="0" borderId="3" xfId="0" applyNumberFormat="1" applyFont="1" applyFill="1" applyBorder="1" applyAlignment="1">
      <alignment horizontal="center" vertical="top" wrapText="1"/>
    </xf>
    <xf numFmtId="171" fontId="5" fillId="0" borderId="3" xfId="0" applyNumberFormat="1" applyFont="1" applyFill="1" applyBorder="1" applyAlignment="1">
      <alignment vertical="top" wrapText="1"/>
    </xf>
    <xf numFmtId="171" fontId="5" fillId="0" borderId="3" xfId="0" applyNumberFormat="1" applyFont="1" applyFill="1" applyBorder="1" applyAlignment="1">
      <alignment horizontal="right" vertical="top" wrapText="1"/>
    </xf>
    <xf numFmtId="171" fontId="5" fillId="0" borderId="34" xfId="4" applyNumberFormat="1" applyFont="1" applyFill="1" applyBorder="1" applyAlignment="1">
      <alignment vertical="top" wrapText="1"/>
    </xf>
    <xf numFmtId="171" fontId="5" fillId="0" borderId="34" xfId="0" applyNumberFormat="1" applyFont="1" applyFill="1" applyBorder="1" applyAlignment="1">
      <alignment vertical="top" wrapText="1"/>
    </xf>
    <xf numFmtId="171" fontId="5" fillId="0" borderId="3" xfId="4" applyNumberFormat="1" applyFont="1" applyFill="1" applyBorder="1" applyAlignment="1">
      <alignment horizontal="center" vertical="top" wrapText="1"/>
    </xf>
    <xf numFmtId="171" fontId="5" fillId="0" borderId="0" xfId="0" applyNumberFormat="1" applyFont="1" applyAlignment="1">
      <alignment horizontal="center" vertical="top" wrapText="1"/>
    </xf>
    <xf numFmtId="171" fontId="5" fillId="0" borderId="0" xfId="0" applyNumberFormat="1" applyFont="1" applyAlignment="1">
      <alignment horizontal="right" vertical="top" wrapText="1"/>
    </xf>
    <xf numFmtId="171" fontId="7" fillId="0" borderId="0" xfId="0" applyNumberFormat="1" applyFont="1" applyAlignment="1">
      <alignment horizontal="center" vertical="top" wrapText="1"/>
    </xf>
    <xf numFmtId="171" fontId="7" fillId="0" borderId="0" xfId="0" applyNumberFormat="1" applyFont="1" applyAlignment="1">
      <alignment horizontal="right" vertical="top" wrapText="1"/>
    </xf>
    <xf numFmtId="171" fontId="5" fillId="0" borderId="3" xfId="4" applyNumberFormat="1" applyFont="1" applyFill="1" applyBorder="1" applyAlignment="1">
      <alignment horizontal="right" vertical="top" wrapText="1"/>
    </xf>
    <xf numFmtId="171" fontId="5" fillId="0" borderId="3" xfId="0" applyNumberFormat="1" applyFont="1" applyBorder="1" applyAlignment="1">
      <alignment vertical="top" wrapText="1"/>
    </xf>
    <xf numFmtId="171" fontId="5" fillId="0" borderId="3" xfId="0" applyNumberFormat="1" applyFont="1" applyBorder="1" applyAlignment="1">
      <alignment horizontal="right" vertical="top" wrapText="1"/>
    </xf>
    <xf numFmtId="171" fontId="5" fillId="0" borderId="3" xfId="4" applyNumberFormat="1" applyFont="1" applyFill="1" applyBorder="1" applyAlignment="1">
      <alignment vertical="top" wrapText="1"/>
    </xf>
    <xf numFmtId="0" fontId="5" fillId="3" borderId="33" xfId="0" applyFont="1" applyFill="1" applyBorder="1" applyAlignment="1">
      <alignment horizontal="center" vertical="top" wrapText="1"/>
    </xf>
    <xf numFmtId="9" fontId="5" fillId="0" borderId="3" xfId="9" applyFont="1" applyFill="1" applyBorder="1" applyAlignment="1" applyProtection="1">
      <alignment horizontal="center" vertical="top" wrapText="1"/>
      <protection locked="0"/>
    </xf>
    <xf numFmtId="9" fontId="5" fillId="0" borderId="3" xfId="9" quotePrefix="1" applyFont="1" applyFill="1" applyBorder="1" applyAlignment="1" applyProtection="1">
      <alignment horizontal="center" vertical="top" wrapText="1"/>
      <protection locked="0"/>
    </xf>
    <xf numFmtId="168" fontId="5" fillId="0" borderId="3" xfId="9" applyNumberFormat="1" applyFont="1" applyFill="1" applyBorder="1" applyAlignment="1" applyProtection="1">
      <alignment horizontal="center" vertical="top" wrapText="1"/>
      <protection locked="0"/>
    </xf>
    <xf numFmtId="0" fontId="7" fillId="0" borderId="0" xfId="0" applyFont="1" applyFill="1" applyBorder="1" applyAlignment="1">
      <alignment horizontal="center" vertical="top" wrapText="1"/>
    </xf>
    <xf numFmtId="171" fontId="5" fillId="0" borderId="6" xfId="4" applyNumberFormat="1" applyFont="1" applyFill="1" applyBorder="1" applyAlignment="1">
      <alignment vertical="top" wrapText="1"/>
    </xf>
    <xf numFmtId="0" fontId="13" fillId="0" borderId="0" xfId="0" applyFont="1" applyAlignment="1">
      <alignment vertical="top" wrapText="1"/>
    </xf>
    <xf numFmtId="0" fontId="14" fillId="0" borderId="3" xfId="0" applyFont="1" applyBorder="1" applyAlignment="1">
      <alignment horizontal="left" vertical="top" wrapText="1"/>
    </xf>
    <xf numFmtId="0" fontId="14" fillId="0" borderId="3" xfId="0" applyFont="1" applyFill="1" applyBorder="1" applyAlignment="1">
      <alignment horizontal="center" vertical="top" wrapText="1"/>
    </xf>
    <xf numFmtId="0" fontId="14" fillId="0" borderId="3" xfId="0" applyFont="1" applyFill="1" applyBorder="1" applyAlignment="1">
      <alignment horizontal="left" vertical="top" wrapText="1"/>
    </xf>
    <xf numFmtId="0" fontId="15" fillId="0" borderId="3" xfId="0" applyFont="1" applyFill="1" applyBorder="1" applyAlignment="1">
      <alignment horizontal="left" vertical="top" wrapText="1"/>
    </xf>
    <xf numFmtId="0" fontId="14" fillId="0" borderId="0" xfId="0" applyFont="1" applyAlignment="1">
      <alignment horizontal="left" vertical="top" wrapText="1"/>
    </xf>
    <xf numFmtId="0" fontId="6" fillId="6" borderId="19" xfId="0"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0" fontId="5" fillId="0" borderId="15" xfId="0" applyFont="1" applyFill="1" applyBorder="1" applyAlignment="1">
      <alignment horizontal="left" vertical="top" wrapText="1"/>
    </xf>
    <xf numFmtId="0" fontId="5" fillId="3" borderId="8" xfId="0" applyFont="1" applyFill="1" applyBorder="1" applyAlignment="1">
      <alignment horizontal="left" vertical="top" wrapText="1"/>
    </xf>
    <xf numFmtId="0" fontId="6" fillId="6" borderId="4"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0" borderId="0" xfId="0" applyFont="1" applyAlignment="1">
      <alignment horizontal="center" vertical="top" wrapText="1"/>
    </xf>
    <xf numFmtId="0" fontId="7" fillId="0" borderId="37" xfId="0" applyFont="1" applyBorder="1" applyAlignment="1">
      <alignment horizontal="center" vertical="center" wrapText="1"/>
    </xf>
    <xf numFmtId="0" fontId="7" fillId="0" borderId="15" xfId="0" applyFont="1" applyBorder="1" applyAlignment="1">
      <alignment horizontal="left" vertical="top" wrapText="1"/>
    </xf>
    <xf numFmtId="0" fontId="6" fillId="6" borderId="3" xfId="0" applyFont="1" applyFill="1" applyBorder="1" applyAlignment="1">
      <alignment horizontal="center" vertical="top" wrapText="1"/>
    </xf>
    <xf numFmtId="9" fontId="8" fillId="0" borderId="6" xfId="9" applyFont="1" applyFill="1" applyBorder="1" applyAlignment="1">
      <alignment horizontal="center" vertical="top" wrapText="1"/>
    </xf>
    <xf numFmtId="9" fontId="8" fillId="0" borderId="34" xfId="9" applyFont="1" applyFill="1" applyBorder="1" applyAlignment="1">
      <alignment horizontal="center" vertical="top" wrapText="1"/>
    </xf>
    <xf numFmtId="9" fontId="8" fillId="0" borderId="6" xfId="9" applyFont="1" applyBorder="1" applyAlignment="1">
      <alignment horizontal="center" vertical="top" wrapText="1"/>
    </xf>
    <xf numFmtId="9" fontId="8" fillId="0" borderId="7" xfId="9" applyFont="1" applyBorder="1" applyAlignment="1">
      <alignment horizontal="center" vertical="top" wrapText="1"/>
    </xf>
    <xf numFmtId="0" fontId="11" fillId="7" borderId="51" xfId="0" applyFont="1" applyFill="1" applyBorder="1" applyAlignment="1">
      <alignment horizontal="center" vertical="top" wrapText="1"/>
    </xf>
    <xf numFmtId="0" fontId="6" fillId="7" borderId="51" xfId="0" applyFont="1" applyFill="1" applyBorder="1" applyAlignment="1">
      <alignment horizontal="center" vertical="center" wrapText="1"/>
    </xf>
    <xf numFmtId="0" fontId="6" fillId="7" borderId="52" xfId="0" applyFont="1" applyFill="1" applyBorder="1" applyAlignment="1">
      <alignment horizontal="center" vertical="center" wrapText="1"/>
    </xf>
    <xf numFmtId="9" fontId="6" fillId="7" borderId="52" xfId="9" applyFont="1" applyFill="1" applyBorder="1" applyAlignment="1">
      <alignment horizontal="center" vertical="center" wrapText="1"/>
    </xf>
    <xf numFmtId="9" fontId="6" fillId="7" borderId="53" xfId="9" applyFont="1" applyFill="1" applyBorder="1" applyAlignment="1">
      <alignment horizontal="center" vertical="center" wrapText="1"/>
    </xf>
    <xf numFmtId="0" fontId="6" fillId="7" borderId="24"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7" fillId="0" borderId="0" xfId="0" applyNumberFormat="1" applyFont="1" applyAlignment="1">
      <alignment horizontal="left" vertical="top" wrapText="1"/>
    </xf>
    <xf numFmtId="0" fontId="6" fillId="0" borderId="0" xfId="0" applyFont="1" applyAlignment="1">
      <alignment horizontal="center" vertical="top" wrapText="1"/>
    </xf>
    <xf numFmtId="9" fontId="8" fillId="0" borderId="62" xfId="9" applyFont="1" applyFill="1" applyBorder="1" applyAlignment="1">
      <alignment horizontal="center" vertical="top" wrapText="1"/>
    </xf>
    <xf numFmtId="9" fontId="8" fillId="0" borderId="55" xfId="9" applyFont="1" applyBorder="1" applyAlignment="1">
      <alignment horizontal="center" vertical="top" wrapText="1"/>
    </xf>
    <xf numFmtId="9" fontId="8" fillId="0" borderId="62" xfId="0" applyNumberFormat="1" applyFont="1" applyFill="1" applyBorder="1" applyAlignment="1">
      <alignment horizontal="center" vertical="top" wrapText="1"/>
    </xf>
    <xf numFmtId="0" fontId="7" fillId="8" borderId="46" xfId="0" applyFont="1" applyFill="1" applyBorder="1" applyAlignment="1">
      <alignment horizontal="left" vertical="top" wrapText="1"/>
    </xf>
    <xf numFmtId="9" fontId="6" fillId="7" borderId="26" xfId="9" applyFont="1" applyFill="1" applyBorder="1" applyAlignment="1">
      <alignment horizontal="center" vertical="center" wrapText="1"/>
    </xf>
    <xf numFmtId="0" fontId="6" fillId="7" borderId="25" xfId="0" applyFont="1" applyFill="1" applyBorder="1" applyAlignment="1">
      <alignment horizontal="center" vertical="center" wrapText="1"/>
    </xf>
    <xf numFmtId="9" fontId="6" fillId="7" borderId="25" xfId="9" applyFont="1" applyFill="1" applyBorder="1" applyAlignment="1">
      <alignment horizontal="center" vertical="center" wrapText="1"/>
    </xf>
    <xf numFmtId="0" fontId="11" fillId="7" borderId="9" xfId="0" applyFont="1" applyFill="1" applyBorder="1" applyAlignment="1">
      <alignment horizontal="center" vertical="center" wrapText="1"/>
    </xf>
    <xf numFmtId="0" fontId="6" fillId="0" borderId="0" xfId="0" applyFont="1" applyAlignment="1">
      <alignment horizontal="center" vertical="top" wrapText="1"/>
    </xf>
    <xf numFmtId="0" fontId="8" fillId="7" borderId="10" xfId="0" applyFont="1" applyFill="1" applyBorder="1" applyAlignment="1">
      <alignment horizontal="center" vertical="center" wrapText="1"/>
    </xf>
    <xf numFmtId="9" fontId="8" fillId="0" borderId="55" xfId="9" applyFont="1" applyFill="1" applyBorder="1" applyAlignment="1">
      <alignment horizontal="center" vertical="top" wrapText="1"/>
    </xf>
    <xf numFmtId="10" fontId="5" fillId="0" borderId="63" xfId="3" applyNumberFormat="1" applyFont="1" applyFill="1" applyBorder="1" applyAlignment="1" applyProtection="1">
      <alignment horizontal="center" vertical="top" wrapText="1"/>
    </xf>
    <xf numFmtId="0" fontId="5" fillId="0" borderId="62" xfId="0" applyFont="1" applyFill="1" applyBorder="1" applyAlignment="1">
      <alignment horizontal="center" vertical="top" wrapText="1"/>
    </xf>
    <xf numFmtId="171" fontId="5" fillId="0" borderId="62" xfId="0" applyNumberFormat="1" applyFont="1" applyBorder="1" applyAlignment="1">
      <alignment vertical="top" wrapText="1"/>
    </xf>
    <xf numFmtId="171" fontId="5" fillId="0" borderId="62" xfId="0" applyNumberFormat="1" applyFont="1" applyBorder="1" applyAlignment="1">
      <alignment horizontal="right" vertical="top" wrapText="1"/>
    </xf>
    <xf numFmtId="0" fontId="6" fillId="0" borderId="0" xfId="0" applyFont="1" applyAlignment="1">
      <alignment horizontal="center" vertical="top" wrapText="1"/>
    </xf>
    <xf numFmtId="0" fontId="13" fillId="7" borderId="65" xfId="0" applyFont="1" applyFill="1" applyBorder="1" applyAlignment="1">
      <alignment horizontal="center" vertical="center" wrapText="1"/>
    </xf>
    <xf numFmtId="9" fontId="5" fillId="0" borderId="62" xfId="9" applyFont="1" applyFill="1" applyBorder="1" applyAlignment="1">
      <alignment horizontal="center" vertical="top" wrapText="1"/>
    </xf>
    <xf numFmtId="0" fontId="8" fillId="7" borderId="9" xfId="0" applyFont="1" applyFill="1" applyBorder="1" applyAlignment="1">
      <alignment horizontal="center" vertical="center" wrapText="1"/>
    </xf>
    <xf numFmtId="0" fontId="8" fillId="7" borderId="37" xfId="0" applyFont="1" applyFill="1" applyBorder="1" applyAlignment="1">
      <alignment horizontal="center" vertical="center" wrapText="1"/>
    </xf>
    <xf numFmtId="9" fontId="8" fillId="7" borderId="67" xfId="0" applyNumberFormat="1" applyFont="1" applyFill="1" applyBorder="1" applyAlignment="1">
      <alignment horizontal="center" vertical="center" wrapText="1"/>
    </xf>
    <xf numFmtId="9" fontId="8" fillId="7" borderId="68" xfId="0" applyNumberFormat="1" applyFont="1" applyFill="1" applyBorder="1" applyAlignment="1">
      <alignment horizontal="center" vertical="center" wrapText="1"/>
    </xf>
    <xf numFmtId="9" fontId="8" fillId="7" borderId="56" xfId="0" applyNumberFormat="1" applyFont="1" applyFill="1" applyBorder="1" applyAlignment="1">
      <alignment horizontal="center" vertical="center" wrapText="1"/>
    </xf>
    <xf numFmtId="0" fontId="8" fillId="7" borderId="57" xfId="0" applyFont="1" applyFill="1" applyBorder="1" applyAlignment="1">
      <alignment horizontal="center" vertical="center" wrapText="1"/>
    </xf>
    <xf numFmtId="9" fontId="6" fillId="7" borderId="65" xfId="9" applyFont="1" applyFill="1" applyBorder="1" applyAlignment="1">
      <alignment horizontal="center" vertical="center" wrapText="1"/>
    </xf>
    <xf numFmtId="0" fontId="7" fillId="0" borderId="3" xfId="0" applyFont="1" applyFill="1" applyBorder="1" applyAlignment="1">
      <alignment horizontal="left" vertical="top" wrapText="1"/>
    </xf>
    <xf numFmtId="10" fontId="5" fillId="0" borderId="64" xfId="3" applyNumberFormat="1" applyFont="1" applyFill="1" applyBorder="1" applyAlignment="1" applyProtection="1">
      <alignment horizontal="center" vertical="top" wrapText="1"/>
    </xf>
    <xf numFmtId="10" fontId="5" fillId="0" borderId="64" xfId="0" applyNumberFormat="1" applyFont="1" applyFill="1" applyBorder="1" applyAlignment="1">
      <alignment horizontal="center" vertical="top" wrapText="1"/>
    </xf>
    <xf numFmtId="9" fontId="8" fillId="0" borderId="45" xfId="9" applyFont="1" applyBorder="1" applyAlignment="1">
      <alignment vertical="top" wrapText="1"/>
    </xf>
    <xf numFmtId="10" fontId="5" fillId="0" borderId="62" xfId="0" applyNumberFormat="1" applyFont="1" applyFill="1" applyBorder="1" applyAlignment="1">
      <alignment horizontal="center" vertical="top" wrapText="1"/>
    </xf>
    <xf numFmtId="171" fontId="5" fillId="0" borderId="66" xfId="4" applyNumberFormat="1" applyFont="1" applyFill="1" applyBorder="1" applyAlignment="1">
      <alignment vertical="top" wrapText="1"/>
    </xf>
    <xf numFmtId="171" fontId="5" fillId="0" borderId="66" xfId="0" applyNumberFormat="1" applyFont="1" applyFill="1" applyBorder="1" applyAlignment="1">
      <alignment vertical="top" wrapText="1"/>
    </xf>
    <xf numFmtId="9" fontId="8" fillId="0" borderId="71" xfId="9" applyFont="1" applyBorder="1" applyAlignment="1">
      <alignment horizontal="center" vertical="top" wrapText="1"/>
    </xf>
    <xf numFmtId="0" fontId="15" fillId="0" borderId="46" xfId="0" applyFont="1" applyFill="1" applyBorder="1" applyAlignment="1">
      <alignment horizontal="left" vertical="top" wrapText="1"/>
    </xf>
    <xf numFmtId="9" fontId="5" fillId="0" borderId="63" xfId="3" applyNumberFormat="1" applyFont="1" applyFill="1" applyBorder="1" applyAlignment="1" applyProtection="1">
      <alignment horizontal="center" vertical="top" wrapText="1"/>
    </xf>
    <xf numFmtId="9" fontId="5" fillId="0" borderId="35" xfId="0" applyNumberFormat="1" applyFont="1" applyBorder="1" applyAlignment="1">
      <alignment horizontal="center" vertical="top" wrapText="1"/>
    </xf>
    <xf numFmtId="0" fontId="5" fillId="3" borderId="42" xfId="0" applyFont="1" applyFill="1" applyBorder="1" applyAlignment="1">
      <alignment horizontal="left" vertical="top" wrapText="1"/>
    </xf>
    <xf numFmtId="0" fontId="5" fillId="3" borderId="44" xfId="0" applyFont="1" applyFill="1" applyBorder="1" applyAlignment="1">
      <alignment horizontal="left" vertical="top" wrapText="1"/>
    </xf>
    <xf numFmtId="0" fontId="19" fillId="0" borderId="0" xfId="0" applyFont="1" applyAlignment="1">
      <alignment horizontal="center" vertical="center" wrapText="1"/>
    </xf>
    <xf numFmtId="0" fontId="18" fillId="7" borderId="24" xfId="0" applyFont="1" applyFill="1" applyBorder="1" applyAlignment="1">
      <alignment horizontal="center" vertical="center" wrapText="1"/>
    </xf>
    <xf numFmtId="0" fontId="22" fillId="7" borderId="24" xfId="0" applyFont="1" applyFill="1" applyBorder="1" applyAlignment="1">
      <alignment horizontal="center" vertical="center" wrapText="1"/>
    </xf>
    <xf numFmtId="0" fontId="18" fillId="7" borderId="51" xfId="0" applyFont="1" applyFill="1" applyBorder="1" applyAlignment="1">
      <alignment horizontal="center" vertical="center" wrapText="1"/>
    </xf>
    <xf numFmtId="0" fontId="18" fillId="7" borderId="52" xfId="0" applyFont="1" applyFill="1" applyBorder="1" applyAlignment="1">
      <alignment horizontal="center" vertical="center" wrapText="1"/>
    </xf>
    <xf numFmtId="9" fontId="18" fillId="7" borderId="52" xfId="9" applyFont="1" applyFill="1" applyBorder="1" applyAlignment="1">
      <alignment horizontal="center" vertical="center" wrapText="1"/>
    </xf>
    <xf numFmtId="9" fontId="18" fillId="7" borderId="53" xfId="9" applyFont="1" applyFill="1" applyBorder="1" applyAlignment="1">
      <alignment horizontal="center" vertical="center" wrapText="1"/>
    </xf>
    <xf numFmtId="0" fontId="18" fillId="7" borderId="51" xfId="0" applyNumberFormat="1" applyFont="1" applyFill="1" applyBorder="1" applyAlignment="1">
      <alignment horizontal="center" vertical="center" wrapText="1"/>
    </xf>
    <xf numFmtId="0" fontId="18" fillId="7" borderId="52" xfId="0" applyNumberFormat="1" applyFont="1" applyFill="1" applyBorder="1" applyAlignment="1">
      <alignment horizontal="center" vertical="center" wrapText="1"/>
    </xf>
    <xf numFmtId="0" fontId="19"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19" fillId="2" borderId="38" xfId="0" applyFont="1" applyFill="1" applyBorder="1" applyAlignment="1">
      <alignment horizontal="center" vertical="top" wrapText="1"/>
    </xf>
    <xf numFmtId="0" fontId="19" fillId="0" borderId="14" xfId="0" applyFont="1" applyBorder="1" applyAlignment="1">
      <alignment horizontal="left" vertical="top" wrapText="1"/>
    </xf>
    <xf numFmtId="0" fontId="19" fillId="0" borderId="8" xfId="0" applyFont="1" applyBorder="1" applyAlignment="1">
      <alignment horizontal="left" vertical="top" wrapText="1"/>
    </xf>
    <xf numFmtId="9" fontId="19" fillId="0" borderId="8" xfId="9" applyFont="1" applyBorder="1" applyAlignment="1">
      <alignment horizontal="left" vertical="top" wrapText="1"/>
    </xf>
    <xf numFmtId="9" fontId="19" fillId="0" borderId="15" xfId="9" applyFont="1" applyFill="1" applyBorder="1" applyAlignment="1">
      <alignment horizontal="left" vertical="top" wrapText="1"/>
    </xf>
    <xf numFmtId="0" fontId="19" fillId="0" borderId="38" xfId="0" applyFont="1" applyBorder="1" applyAlignment="1">
      <alignment horizontal="center" vertical="top" wrapText="1"/>
    </xf>
    <xf numFmtId="9" fontId="19" fillId="0" borderId="8" xfId="9" applyFont="1" applyFill="1" applyBorder="1" applyAlignment="1">
      <alignment horizontal="center" vertical="top" wrapText="1"/>
    </xf>
    <xf numFmtId="9" fontId="19" fillId="0" borderId="15" xfId="9" applyFont="1" applyFill="1" applyBorder="1" applyAlignment="1">
      <alignment horizontal="center" vertical="top" wrapText="1"/>
    </xf>
    <xf numFmtId="9" fontId="18" fillId="0" borderId="8" xfId="9" applyFont="1" applyFill="1" applyBorder="1" applyAlignment="1">
      <alignment horizontal="center" vertical="top" wrapText="1"/>
    </xf>
    <xf numFmtId="0" fontId="19" fillId="0" borderId="8" xfId="0" applyNumberFormat="1" applyFont="1" applyFill="1" applyBorder="1" applyAlignment="1">
      <alignment horizontal="center" vertical="top" wrapText="1"/>
    </xf>
    <xf numFmtId="9" fontId="19" fillId="0" borderId="42" xfId="0" applyNumberFormat="1" applyFont="1" applyFill="1" applyBorder="1" applyAlignment="1">
      <alignment horizontal="center" vertical="top" wrapText="1"/>
    </xf>
    <xf numFmtId="0" fontId="19" fillId="0" borderId="0" xfId="0" applyFont="1" applyAlignment="1">
      <alignment horizontal="left" vertical="top" wrapText="1"/>
    </xf>
    <xf numFmtId="0" fontId="19" fillId="0" borderId="8" xfId="0" applyFont="1" applyFill="1" applyBorder="1" applyAlignment="1">
      <alignment horizontal="center" vertical="top" wrapText="1"/>
    </xf>
    <xf numFmtId="0" fontId="19" fillId="0" borderId="0" xfId="0" applyFont="1" applyBorder="1" applyAlignment="1">
      <alignment horizontal="left" vertical="top" wrapText="1"/>
    </xf>
    <xf numFmtId="0" fontId="19" fillId="0" borderId="14" xfId="0" applyFont="1" applyBorder="1" applyAlignment="1">
      <alignment horizontal="center" vertical="top" wrapText="1"/>
    </xf>
    <xf numFmtId="1" fontId="19" fillId="0" borderId="0" xfId="0" applyNumberFormat="1" applyFont="1" applyFill="1" applyAlignment="1">
      <alignment horizontal="left" vertical="top" wrapText="1"/>
    </xf>
    <xf numFmtId="0" fontId="19" fillId="0" borderId="37" xfId="0" applyFont="1" applyBorder="1" applyAlignment="1">
      <alignment horizontal="center" vertical="center" wrapText="1"/>
    </xf>
    <xf numFmtId="0" fontId="20" fillId="3" borderId="17" xfId="0" applyFont="1" applyFill="1" applyBorder="1" applyAlignment="1">
      <alignment horizontal="left" vertical="top" wrapText="1"/>
    </xf>
    <xf numFmtId="0" fontId="20" fillId="0" borderId="39" xfId="0" applyFont="1" applyFill="1" applyBorder="1" applyAlignment="1">
      <alignment horizontal="center" vertical="top" wrapText="1"/>
    </xf>
    <xf numFmtId="0" fontId="20" fillId="0" borderId="16" xfId="0" applyFont="1" applyFill="1" applyBorder="1" applyAlignment="1">
      <alignment vertical="top" wrapText="1"/>
    </xf>
    <xf numFmtId="0" fontId="20" fillId="0" borderId="17" xfId="0" applyFont="1" applyFill="1" applyBorder="1" applyAlignment="1">
      <alignment vertical="top" wrapText="1"/>
    </xf>
    <xf numFmtId="9" fontId="19" fillId="0" borderId="17" xfId="9" applyFont="1" applyBorder="1" applyAlignment="1">
      <alignment horizontal="left" vertical="top" wrapText="1"/>
    </xf>
    <xf numFmtId="9" fontId="19" fillId="0" borderId="18" xfId="9" applyFont="1" applyFill="1" applyBorder="1" applyAlignment="1">
      <alignment horizontal="left" vertical="top" wrapText="1"/>
    </xf>
    <xf numFmtId="0" fontId="19" fillId="0" borderId="16" xfId="0" applyFont="1" applyBorder="1" applyAlignment="1">
      <alignment horizontal="center" vertical="top" wrapText="1"/>
    </xf>
    <xf numFmtId="0" fontId="19" fillId="0" borderId="17" xfId="0" applyFont="1" applyFill="1" applyBorder="1" applyAlignment="1">
      <alignment horizontal="center" vertical="top" wrapText="1"/>
    </xf>
    <xf numFmtId="9" fontId="19" fillId="0" borderId="17" xfId="9" applyFont="1" applyFill="1" applyBorder="1" applyAlignment="1">
      <alignment horizontal="center" vertical="top" wrapText="1"/>
    </xf>
    <xf numFmtId="9" fontId="19" fillId="0" borderId="18" xfId="9" applyFont="1" applyFill="1" applyBorder="1" applyAlignment="1">
      <alignment horizontal="center" vertical="top" wrapText="1"/>
    </xf>
    <xf numFmtId="9" fontId="18" fillId="0" borderId="17" xfId="0" applyNumberFormat="1" applyFont="1" applyFill="1" applyBorder="1" applyAlignment="1">
      <alignment horizontal="center" vertical="top" wrapText="1"/>
    </xf>
    <xf numFmtId="0" fontId="19" fillId="0" borderId="17" xfId="0" applyNumberFormat="1" applyFont="1" applyFill="1" applyBorder="1" applyAlignment="1">
      <alignment horizontal="center" vertical="top" wrapText="1"/>
    </xf>
    <xf numFmtId="9" fontId="19" fillId="0" borderId="44" xfId="0" applyNumberFormat="1" applyFont="1" applyFill="1" applyBorder="1" applyAlignment="1">
      <alignment horizontal="center" vertical="top" wrapText="1"/>
    </xf>
    <xf numFmtId="0" fontId="19" fillId="0" borderId="0" xfId="0" applyFont="1" applyAlignment="1">
      <alignment horizontal="center" vertical="top" wrapText="1"/>
    </xf>
    <xf numFmtId="9" fontId="19" fillId="0" borderId="0" xfId="9" applyFont="1" applyAlignment="1">
      <alignment horizontal="left" vertical="top" wrapText="1"/>
    </xf>
    <xf numFmtId="0" fontId="19" fillId="0" borderId="0" xfId="0" applyFont="1" applyAlignment="1">
      <alignment horizontal="right" vertical="top" wrapText="1"/>
    </xf>
    <xf numFmtId="0" fontId="19" fillId="0" borderId="0" xfId="0" applyNumberFormat="1" applyFont="1" applyAlignment="1">
      <alignment horizontal="left" vertical="top" wrapText="1"/>
    </xf>
    <xf numFmtId="0" fontId="18" fillId="0" borderId="0" xfId="0" applyFont="1" applyAlignment="1">
      <alignment horizontal="left" vertical="top" wrapText="1"/>
    </xf>
    <xf numFmtId="0" fontId="25" fillId="0" borderId="18" xfId="0" applyFont="1" applyFill="1" applyBorder="1" applyAlignment="1">
      <alignment vertical="top" wrapText="1"/>
    </xf>
    <xf numFmtId="0" fontId="17" fillId="0" borderId="15" xfId="0" applyFont="1" applyBorder="1" applyAlignment="1">
      <alignment horizontal="left" vertical="top" wrapText="1"/>
    </xf>
    <xf numFmtId="0" fontId="17" fillId="0" borderId="0" xfId="0" applyFont="1" applyAlignment="1">
      <alignment horizontal="left" vertical="top" wrapText="1"/>
    </xf>
    <xf numFmtId="0" fontId="19" fillId="0" borderId="48" xfId="0" applyFont="1" applyBorder="1" applyAlignment="1">
      <alignment horizontal="left" vertical="top" wrapText="1"/>
    </xf>
    <xf numFmtId="9" fontId="19" fillId="0" borderId="48" xfId="9" applyFont="1" applyBorder="1" applyAlignment="1">
      <alignment horizontal="left" vertical="top" wrapText="1"/>
    </xf>
    <xf numFmtId="9" fontId="19" fillId="0" borderId="49" xfId="9" applyFont="1" applyFill="1" applyBorder="1" applyAlignment="1">
      <alignment horizontal="left" vertical="top" wrapText="1"/>
    </xf>
    <xf numFmtId="9" fontId="19" fillId="0" borderId="48" xfId="9" applyFont="1" applyFill="1" applyBorder="1" applyAlignment="1">
      <alignment horizontal="center" vertical="top" wrapText="1"/>
    </xf>
    <xf numFmtId="9" fontId="19" fillId="0" borderId="49" xfId="9" applyFont="1" applyFill="1" applyBorder="1" applyAlignment="1">
      <alignment horizontal="center" vertical="top" wrapText="1"/>
    </xf>
    <xf numFmtId="0" fontId="19" fillId="0" borderId="48" xfId="0" applyNumberFormat="1" applyFont="1" applyFill="1" applyBorder="1" applyAlignment="1">
      <alignment horizontal="center" vertical="top" wrapText="1"/>
    </xf>
    <xf numFmtId="9" fontId="19" fillId="0" borderId="72" xfId="0" applyNumberFormat="1" applyFont="1" applyFill="1" applyBorder="1" applyAlignment="1">
      <alignment horizontal="center" vertical="top" wrapText="1"/>
    </xf>
    <xf numFmtId="0" fontId="22" fillId="7" borderId="51" xfId="0" applyFont="1" applyFill="1" applyBorder="1" applyAlignment="1">
      <alignment horizontal="center" vertical="center" wrapText="1"/>
    </xf>
    <xf numFmtId="0" fontId="26" fillId="7" borderId="53" xfId="0" applyFont="1" applyFill="1" applyBorder="1" applyAlignment="1">
      <alignment horizontal="center" vertical="center" wrapText="1"/>
    </xf>
    <xf numFmtId="0" fontId="7" fillId="0" borderId="0" xfId="0" applyFont="1" applyBorder="1" applyAlignment="1">
      <alignment horizontal="left" vertical="center" wrapText="1"/>
    </xf>
    <xf numFmtId="0" fontId="7" fillId="0" borderId="0" xfId="0" applyFont="1" applyAlignment="1">
      <alignment horizontal="left" vertical="center" wrapText="1"/>
    </xf>
    <xf numFmtId="0" fontId="19" fillId="0" borderId="1" xfId="0" applyFont="1" applyBorder="1" applyAlignment="1">
      <alignment horizontal="center" vertical="top" wrapText="1"/>
    </xf>
    <xf numFmtId="0" fontId="19" fillId="0" borderId="14"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38" xfId="0" applyFont="1" applyFill="1" applyBorder="1" applyAlignment="1">
      <alignment horizontal="center" vertical="top" wrapText="1"/>
    </xf>
    <xf numFmtId="0" fontId="20" fillId="0" borderId="8" xfId="0" applyFont="1" applyFill="1" applyBorder="1" applyAlignment="1">
      <alignment horizontal="left" vertical="top" wrapText="1"/>
    </xf>
    <xf numFmtId="0" fontId="20" fillId="3" borderId="48" xfId="0" applyFont="1" applyFill="1" applyBorder="1" applyAlignment="1">
      <alignment horizontal="left" vertical="top" wrapText="1"/>
    </xf>
    <xf numFmtId="0" fontId="19" fillId="0" borderId="14" xfId="0" applyFont="1" applyFill="1" applyBorder="1" applyAlignment="1">
      <alignment horizontal="center" vertical="top" wrapText="1"/>
    </xf>
    <xf numFmtId="9" fontId="19" fillId="0" borderId="36" xfId="9" applyFont="1" applyFill="1" applyBorder="1" applyAlignment="1">
      <alignment horizontal="center" vertical="top" wrapText="1"/>
    </xf>
    <xf numFmtId="0" fontId="19" fillId="0" borderId="37" xfId="0" applyFont="1" applyBorder="1" applyAlignment="1">
      <alignment horizontal="center" vertical="top" wrapText="1"/>
    </xf>
    <xf numFmtId="9" fontId="19" fillId="0" borderId="17" xfId="9" applyNumberFormat="1" applyFont="1" applyFill="1" applyBorder="1" applyAlignment="1">
      <alignment horizontal="center" vertical="top" wrapText="1"/>
    </xf>
    <xf numFmtId="0" fontId="5" fillId="0" borderId="62" xfId="4" applyNumberFormat="1" applyFont="1" applyFill="1" applyBorder="1" applyAlignment="1">
      <alignment horizontal="center" vertical="top" wrapText="1"/>
    </xf>
    <xf numFmtId="0" fontId="5" fillId="0" borderId="62" xfId="4" applyNumberFormat="1" applyFont="1" applyFill="1" applyBorder="1" applyAlignment="1">
      <alignment vertical="top" wrapText="1"/>
    </xf>
    <xf numFmtId="0" fontId="5" fillId="0" borderId="62" xfId="0" applyNumberFormat="1" applyFont="1" applyFill="1" applyBorder="1" applyAlignment="1">
      <alignment horizontal="center" vertical="top" wrapText="1"/>
    </xf>
    <xf numFmtId="0" fontId="5" fillId="0" borderId="62" xfId="0" applyNumberFormat="1" applyFont="1" applyFill="1" applyBorder="1" applyAlignment="1">
      <alignment horizontal="right" vertical="top" wrapText="1"/>
    </xf>
    <xf numFmtId="0" fontId="5" fillId="3" borderId="33" xfId="0" applyFont="1" applyFill="1" applyBorder="1" applyAlignment="1">
      <alignment horizontal="left" vertical="center" wrapText="1"/>
    </xf>
    <xf numFmtId="0" fontId="7" fillId="0" borderId="46" xfId="0" applyFont="1" applyFill="1" applyBorder="1" applyAlignment="1">
      <alignment horizontal="left" vertical="center" wrapText="1"/>
    </xf>
    <xf numFmtId="9" fontId="5" fillId="4" borderId="64" xfId="9" applyNumberFormat="1" applyFont="1" applyFill="1" applyBorder="1" applyAlignment="1" applyProtection="1">
      <alignment horizontal="center" vertical="center" wrapText="1"/>
    </xf>
    <xf numFmtId="9" fontId="5" fillId="0" borderId="3" xfId="9" applyFont="1" applyFill="1" applyBorder="1" applyAlignment="1">
      <alignment horizontal="center" vertical="center" wrapText="1"/>
    </xf>
    <xf numFmtId="9" fontId="8" fillId="0" borderId="3" xfId="0" applyNumberFormat="1" applyFont="1" applyFill="1" applyBorder="1" applyAlignment="1">
      <alignment horizontal="center" vertical="center" wrapText="1"/>
    </xf>
    <xf numFmtId="171" fontId="5" fillId="0" borderId="3" xfId="0" applyNumberFormat="1" applyFont="1" applyBorder="1" applyAlignment="1">
      <alignment vertical="center" wrapText="1"/>
    </xf>
    <xf numFmtId="171" fontId="5" fillId="0" borderId="3" xfId="0" applyNumberFormat="1" applyFont="1" applyBorder="1" applyAlignment="1">
      <alignment horizontal="right" vertical="center" wrapText="1"/>
    </xf>
    <xf numFmtId="9" fontId="8" fillId="0" borderId="54" xfId="9" applyFont="1" applyBorder="1" applyAlignment="1">
      <alignment horizontal="center" vertical="center" wrapText="1"/>
    </xf>
    <xf numFmtId="10" fontId="5" fillId="0" borderId="64" xfId="9" applyNumberFormat="1" applyFont="1" applyFill="1" applyBorder="1" applyAlignment="1" applyProtection="1">
      <alignment horizontal="center" vertical="center" wrapText="1"/>
    </xf>
    <xf numFmtId="9" fontId="8" fillId="0" borderId="3" xfId="9" applyFont="1" applyFill="1" applyBorder="1" applyAlignment="1">
      <alignment horizontal="center" vertical="center" wrapText="1"/>
    </xf>
    <xf numFmtId="171" fontId="5" fillId="0" borderId="3" xfId="0" applyNumberFormat="1" applyFont="1" applyFill="1" applyBorder="1" applyAlignment="1">
      <alignment horizontal="center" vertical="center" wrapText="1"/>
    </xf>
    <xf numFmtId="9" fontId="5" fillId="0" borderId="64" xfId="9" applyNumberFormat="1" applyFont="1" applyFill="1" applyBorder="1" applyAlignment="1" applyProtection="1">
      <alignment horizontal="center" vertical="center" wrapText="1"/>
    </xf>
    <xf numFmtId="0" fontId="7" fillId="0" borderId="0" xfId="0" applyFont="1" applyFill="1" applyBorder="1" applyAlignment="1">
      <alignment horizontal="left" vertical="center" wrapText="1"/>
    </xf>
    <xf numFmtId="10" fontId="5" fillId="0" borderId="63" xfId="2" applyNumberFormat="1" applyFont="1" applyFill="1" applyBorder="1" applyAlignment="1" applyProtection="1">
      <alignment horizontal="center" vertical="center" wrapText="1"/>
    </xf>
    <xf numFmtId="9" fontId="5" fillId="0" borderId="62" xfId="9" applyFont="1" applyFill="1" applyBorder="1" applyAlignment="1">
      <alignment horizontal="center" vertical="center" wrapText="1"/>
    </xf>
    <xf numFmtId="9" fontId="8" fillId="0" borderId="62" xfId="0" applyNumberFormat="1" applyFont="1" applyFill="1" applyBorder="1" applyAlignment="1">
      <alignment horizontal="center" vertical="center" wrapText="1"/>
    </xf>
    <xf numFmtId="171" fontId="5" fillId="0" borderId="62" xfId="0" applyNumberFormat="1" applyFont="1" applyBorder="1" applyAlignment="1">
      <alignment vertical="center" wrapText="1"/>
    </xf>
    <xf numFmtId="171" fontId="5" fillId="0" borderId="62" xfId="0" applyNumberFormat="1" applyFont="1" applyBorder="1" applyAlignment="1">
      <alignment horizontal="right" vertical="center" wrapText="1"/>
    </xf>
    <xf numFmtId="9" fontId="8" fillId="0" borderId="55" xfId="9" applyFont="1" applyBorder="1" applyAlignment="1">
      <alignment horizontal="center" vertical="center" wrapText="1"/>
    </xf>
    <xf numFmtId="9" fontId="8" fillId="0" borderId="62" xfId="9" applyFont="1" applyFill="1" applyBorder="1" applyAlignment="1">
      <alignment horizontal="center" vertical="center" wrapText="1"/>
    </xf>
    <xf numFmtId="171" fontId="5" fillId="0" borderId="62" xfId="0" applyNumberFormat="1" applyFont="1" applyFill="1" applyBorder="1" applyAlignment="1">
      <alignment vertical="center" wrapText="1"/>
    </xf>
    <xf numFmtId="9" fontId="16" fillId="0" borderId="62" xfId="9" applyFont="1" applyFill="1" applyBorder="1" applyAlignment="1">
      <alignment horizontal="center" vertical="center" wrapText="1"/>
    </xf>
    <xf numFmtId="0" fontId="5" fillId="0" borderId="62" xfId="0" applyNumberFormat="1" applyFont="1" applyBorder="1" applyAlignment="1">
      <alignment horizontal="right" vertical="top" wrapText="1"/>
    </xf>
    <xf numFmtId="0" fontId="18" fillId="7" borderId="51" xfId="0" applyFont="1" applyFill="1" applyBorder="1" applyAlignment="1">
      <alignment horizontal="center" vertical="top" wrapText="1"/>
    </xf>
    <xf numFmtId="0" fontId="22" fillId="7" borderId="51" xfId="0" applyFont="1" applyFill="1" applyBorder="1" applyAlignment="1">
      <alignment horizontal="center" vertical="top" wrapText="1"/>
    </xf>
    <xf numFmtId="0" fontId="20" fillId="3" borderId="48" xfId="0" applyFont="1" applyFill="1" applyBorder="1" applyAlignment="1">
      <alignment horizontal="center" vertical="top" wrapText="1"/>
    </xf>
    <xf numFmtId="0" fontId="17" fillId="0" borderId="49" xfId="0" applyFont="1" applyFill="1" applyBorder="1" applyAlignment="1">
      <alignment horizontal="left" vertical="top" wrapText="1"/>
    </xf>
    <xf numFmtId="0" fontId="19" fillId="0" borderId="36" xfId="0" applyFont="1" applyFill="1" applyBorder="1" applyAlignment="1">
      <alignment horizontal="center" vertical="top" wrapText="1"/>
    </xf>
    <xf numFmtId="0" fontId="19" fillId="0" borderId="47" xfId="0" applyFont="1" applyFill="1" applyBorder="1" applyAlignment="1">
      <alignment horizontal="left" vertical="top" wrapText="1"/>
    </xf>
    <xf numFmtId="0" fontId="19" fillId="0" borderId="48" xfId="0" applyFont="1" applyFill="1" applyBorder="1" applyAlignment="1">
      <alignment horizontal="left" vertical="top" wrapText="1"/>
    </xf>
    <xf numFmtId="0" fontId="19" fillId="0" borderId="47" xfId="0" applyFont="1" applyBorder="1" applyAlignment="1">
      <alignment horizontal="center" vertical="top" wrapText="1"/>
    </xf>
    <xf numFmtId="0" fontId="19" fillId="0" borderId="48" xfId="0" applyFont="1" applyFill="1" applyBorder="1" applyAlignment="1">
      <alignment horizontal="center" vertical="top" wrapText="1"/>
    </xf>
    <xf numFmtId="0" fontId="19" fillId="0" borderId="47" xfId="0" applyFont="1" applyFill="1" applyBorder="1" applyAlignment="1">
      <alignment horizontal="center" vertical="top" wrapText="1"/>
    </xf>
    <xf numFmtId="0" fontId="19" fillId="0" borderId="48" xfId="0" applyFont="1" applyBorder="1" applyAlignment="1">
      <alignment horizontal="right" vertical="top" wrapText="1"/>
    </xf>
    <xf numFmtId="9" fontId="18" fillId="0" borderId="48" xfId="0" applyNumberFormat="1" applyFont="1" applyFill="1" applyBorder="1" applyAlignment="1">
      <alignment horizontal="center" vertical="top" wrapText="1"/>
    </xf>
    <xf numFmtId="0" fontId="20" fillId="3" borderId="8" xfId="0" applyFont="1" applyFill="1" applyBorder="1" applyAlignment="1">
      <alignment horizontal="center" vertical="top" wrapText="1"/>
    </xf>
    <xf numFmtId="0" fontId="17" fillId="0" borderId="15" xfId="0" applyFont="1" applyFill="1" applyBorder="1" applyAlignment="1">
      <alignment horizontal="left" vertical="top" wrapText="1"/>
    </xf>
    <xf numFmtId="9" fontId="18" fillId="0" borderId="8" xfId="9" applyNumberFormat="1" applyFont="1" applyFill="1" applyBorder="1" applyAlignment="1">
      <alignment vertical="top"/>
    </xf>
    <xf numFmtId="0" fontId="19" fillId="0" borderId="8" xfId="0" applyNumberFormat="1" applyFont="1" applyFill="1" applyBorder="1" applyAlignment="1">
      <alignment vertical="top" wrapText="1"/>
    </xf>
    <xf numFmtId="0" fontId="20" fillId="3" borderId="17" xfId="0" applyFont="1" applyFill="1" applyBorder="1" applyAlignment="1">
      <alignment horizontal="center" vertical="top" wrapText="1"/>
    </xf>
    <xf numFmtId="0" fontId="19" fillId="0" borderId="0" xfId="0" applyFont="1" applyBorder="1" applyAlignment="1">
      <alignment horizontal="center" vertical="top" wrapText="1"/>
    </xf>
    <xf numFmtId="0" fontId="17" fillId="0" borderId="0" xfId="0" applyFont="1" applyBorder="1" applyAlignment="1">
      <alignment horizontal="left" vertical="top" wrapText="1"/>
    </xf>
    <xf numFmtId="0" fontId="18" fillId="7" borderId="53" xfId="0" applyFont="1" applyFill="1" applyBorder="1" applyAlignment="1">
      <alignment horizontal="center" vertical="center" wrapText="1"/>
    </xf>
    <xf numFmtId="0" fontId="19" fillId="0" borderId="0" xfId="0" applyFont="1" applyFill="1" applyBorder="1" applyAlignment="1">
      <alignment horizontal="left" vertical="top" wrapText="1"/>
    </xf>
    <xf numFmtId="0" fontId="19" fillId="0" borderId="0" xfId="0" applyFont="1" applyFill="1" applyAlignment="1">
      <alignment horizontal="left" vertical="top" wrapText="1"/>
    </xf>
    <xf numFmtId="0" fontId="19" fillId="0" borderId="17" xfId="0" applyFont="1" applyFill="1" applyBorder="1" applyAlignment="1">
      <alignment horizontal="left" vertical="top" wrapText="1"/>
    </xf>
    <xf numFmtId="0" fontId="19" fillId="0" borderId="16" xfId="0" applyFont="1" applyFill="1" applyBorder="1" applyAlignment="1">
      <alignment horizontal="left" vertical="center" wrapText="1"/>
    </xf>
    <xf numFmtId="9" fontId="19" fillId="0" borderId="17" xfId="9" applyFont="1" applyBorder="1" applyAlignment="1">
      <alignment horizontal="left" vertical="center" wrapText="1"/>
    </xf>
    <xf numFmtId="9" fontId="19" fillId="0" borderId="17" xfId="9" applyFont="1" applyFill="1" applyBorder="1" applyAlignment="1">
      <alignment horizontal="center" vertical="center" wrapText="1"/>
    </xf>
    <xf numFmtId="9" fontId="19" fillId="0" borderId="18" xfId="9"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17" xfId="0" applyNumberFormat="1" applyFont="1" applyFill="1" applyBorder="1" applyAlignment="1">
      <alignment horizontal="center" vertical="center" wrapText="1"/>
    </xf>
    <xf numFmtId="9" fontId="19" fillId="0" borderId="44" xfId="0" applyNumberFormat="1" applyFont="1" applyFill="1" applyBorder="1" applyAlignment="1">
      <alignment horizontal="center" vertical="center" wrapText="1"/>
    </xf>
    <xf numFmtId="0" fontId="18" fillId="7" borderId="25" xfId="0" applyFont="1" applyFill="1" applyBorder="1" applyAlignment="1">
      <alignment horizontal="center" vertical="center" wrapText="1"/>
    </xf>
    <xf numFmtId="9" fontId="18" fillId="7" borderId="25" xfId="9" applyFont="1" applyFill="1" applyBorder="1" applyAlignment="1">
      <alignment horizontal="center" vertical="center" wrapText="1"/>
    </xf>
    <xf numFmtId="9" fontId="18" fillId="7" borderId="26" xfId="9" applyFont="1" applyFill="1" applyBorder="1" applyAlignment="1">
      <alignment horizontal="center" vertical="center" wrapText="1"/>
    </xf>
    <xf numFmtId="0" fontId="19" fillId="0" borderId="76" xfId="0" applyFont="1" applyBorder="1" applyAlignment="1">
      <alignment horizontal="left" vertical="center" wrapText="1"/>
    </xf>
    <xf numFmtId="0" fontId="19" fillId="0" borderId="74" xfId="0" applyFont="1" applyBorder="1" applyAlignment="1">
      <alignment horizontal="left" vertical="center" wrapText="1"/>
    </xf>
    <xf numFmtId="9" fontId="19" fillId="0" borderId="74" xfId="9" applyFont="1" applyBorder="1" applyAlignment="1">
      <alignment horizontal="left" vertical="center" wrapText="1"/>
    </xf>
    <xf numFmtId="9" fontId="19" fillId="0" borderId="75" xfId="9" applyFont="1" applyBorder="1" applyAlignment="1">
      <alignment horizontal="left" vertical="center" wrapText="1"/>
    </xf>
    <xf numFmtId="0" fontId="19" fillId="0" borderId="74" xfId="0" applyFont="1" applyFill="1" applyBorder="1" applyAlignment="1">
      <alignment horizontal="center" vertical="center" wrapText="1"/>
    </xf>
    <xf numFmtId="9" fontId="19" fillId="0" borderId="74" xfId="9" applyFont="1" applyFill="1" applyBorder="1" applyAlignment="1">
      <alignment horizontal="center" vertical="center" wrapText="1"/>
    </xf>
    <xf numFmtId="9" fontId="19" fillId="0" borderId="75" xfId="9" applyFont="1" applyFill="1" applyBorder="1" applyAlignment="1">
      <alignment horizontal="center" vertical="center" wrapText="1"/>
    </xf>
    <xf numFmtId="0" fontId="19" fillId="0" borderId="76" xfId="0" applyFont="1" applyFill="1" applyBorder="1" applyAlignment="1">
      <alignment horizontal="center" vertical="center" wrapText="1"/>
    </xf>
    <xf numFmtId="0" fontId="19" fillId="0" borderId="74" xfId="0" applyNumberFormat="1" applyFont="1" applyFill="1" applyBorder="1" applyAlignment="1">
      <alignment horizontal="center" vertical="center" wrapText="1"/>
    </xf>
    <xf numFmtId="42" fontId="19" fillId="0" borderId="74" xfId="0" applyNumberFormat="1" applyFont="1" applyFill="1" applyBorder="1" applyAlignment="1">
      <alignment horizontal="center" vertical="center" wrapText="1"/>
    </xf>
    <xf numFmtId="9" fontId="18" fillId="0" borderId="74" xfId="9" applyFont="1" applyFill="1" applyBorder="1" applyAlignment="1">
      <alignment horizontal="center" vertical="center" wrapText="1"/>
    </xf>
    <xf numFmtId="9" fontId="19" fillId="0" borderId="77" xfId="0" applyNumberFormat="1" applyFont="1" applyFill="1" applyBorder="1" applyAlignment="1">
      <alignment horizontal="center" vertical="center" wrapText="1"/>
    </xf>
    <xf numFmtId="0" fontId="19" fillId="0" borderId="0" xfId="0" applyFont="1" applyBorder="1" applyAlignment="1">
      <alignment horizontal="left" vertical="center" wrapText="1"/>
    </xf>
    <xf numFmtId="0" fontId="19" fillId="0" borderId="0" xfId="0" applyFont="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9" fontId="19" fillId="0" borderId="18" xfId="9" applyFont="1" applyBorder="1" applyAlignment="1">
      <alignment horizontal="left" vertical="center" wrapText="1"/>
    </xf>
    <xf numFmtId="0" fontId="19" fillId="0" borderId="16"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18" fillId="7" borderId="73" xfId="0" applyFont="1" applyFill="1" applyBorder="1" applyAlignment="1">
      <alignment horizontal="center" vertical="center" wrapText="1"/>
    </xf>
    <xf numFmtId="0" fontId="18" fillId="0" borderId="10" xfId="0" applyFont="1" applyBorder="1" applyAlignment="1">
      <alignment vertical="center" wrapText="1"/>
    </xf>
    <xf numFmtId="0" fontId="22" fillId="7" borderId="9"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0" borderId="0" xfId="0" applyFont="1" applyAlignment="1">
      <alignment horizontal="left" vertical="center" wrapText="1"/>
    </xf>
    <xf numFmtId="9" fontId="21" fillId="0" borderId="3" xfId="9" applyFont="1" applyFill="1" applyBorder="1" applyAlignment="1">
      <alignment horizontal="center" vertical="top" wrapText="1"/>
    </xf>
    <xf numFmtId="9" fontId="21" fillId="7" borderId="68" xfId="0" applyNumberFormat="1" applyFont="1" applyFill="1" applyBorder="1" applyAlignment="1">
      <alignment horizontal="center" vertical="center" wrapText="1"/>
    </xf>
    <xf numFmtId="10" fontId="20" fillId="4" borderId="63" xfId="3" applyNumberFormat="1" applyFont="1" applyFill="1" applyBorder="1" applyAlignment="1" applyProtection="1">
      <alignment horizontal="center" vertical="top" wrapText="1"/>
    </xf>
    <xf numFmtId="9" fontId="21" fillId="0" borderId="62" xfId="0" applyNumberFormat="1" applyFont="1" applyFill="1" applyBorder="1" applyAlignment="1">
      <alignment horizontal="center" vertical="top" wrapText="1"/>
    </xf>
    <xf numFmtId="9" fontId="21" fillId="0" borderId="55" xfId="9" applyFont="1" applyBorder="1" applyAlignment="1">
      <alignment horizontal="center" vertical="top" wrapText="1"/>
    </xf>
    <xf numFmtId="9" fontId="21" fillId="0" borderId="62" xfId="9" applyFont="1" applyFill="1" applyBorder="1" applyAlignment="1">
      <alignment horizontal="center" vertical="top" wrapText="1"/>
    </xf>
    <xf numFmtId="10" fontId="20" fillId="0" borderId="0" xfId="0" applyNumberFormat="1" applyFont="1" applyAlignment="1">
      <alignment horizontal="center" vertical="top" wrapText="1"/>
    </xf>
    <xf numFmtId="0" fontId="20" fillId="0" borderId="0" xfId="0" applyFont="1" applyAlignment="1">
      <alignment horizontal="center" vertical="top" wrapText="1"/>
    </xf>
    <xf numFmtId="0" fontId="21" fillId="0" borderId="0" xfId="0" applyFont="1" applyAlignment="1">
      <alignment horizontal="center" vertical="top" wrapText="1"/>
    </xf>
    <xf numFmtId="171" fontId="20" fillId="0" borderId="0" xfId="0" applyNumberFormat="1" applyFont="1" applyAlignment="1">
      <alignment horizontal="center" vertical="top" wrapText="1"/>
    </xf>
    <xf numFmtId="171" fontId="20" fillId="0" borderId="0" xfId="0" applyNumberFormat="1" applyFont="1" applyAlignment="1">
      <alignment horizontal="right" vertical="top" wrapText="1"/>
    </xf>
    <xf numFmtId="9" fontId="21" fillId="0" borderId="0" xfId="9" applyFont="1" applyAlignment="1">
      <alignment horizontal="center" vertical="top" wrapText="1"/>
    </xf>
    <xf numFmtId="10" fontId="19" fillId="0" borderId="0" xfId="0" applyNumberFormat="1" applyFont="1" applyAlignment="1">
      <alignment horizontal="center" vertical="top" wrapText="1"/>
    </xf>
    <xf numFmtId="0" fontId="18" fillId="0" borderId="0" xfId="0" applyFont="1" applyAlignment="1">
      <alignment horizontal="center" vertical="top" wrapText="1"/>
    </xf>
    <xf numFmtId="171" fontId="19" fillId="0" borderId="0" xfId="0" applyNumberFormat="1" applyFont="1" applyAlignment="1">
      <alignment horizontal="center" vertical="top" wrapText="1"/>
    </xf>
    <xf numFmtId="171" fontId="19" fillId="0" borderId="0" xfId="0" applyNumberFormat="1" applyFont="1" applyAlignment="1">
      <alignment horizontal="right" vertical="top" wrapText="1"/>
    </xf>
    <xf numFmtId="9" fontId="18" fillId="0" borderId="0" xfId="9" applyFont="1" applyAlignment="1">
      <alignment horizontal="center" vertical="top" wrapText="1"/>
    </xf>
    <xf numFmtId="0" fontId="20" fillId="3" borderId="3" xfId="0" applyFont="1" applyFill="1" applyBorder="1" applyAlignment="1">
      <alignment horizontal="center" vertical="center" wrapText="1"/>
    </xf>
    <xf numFmtId="9" fontId="20" fillId="4" borderId="64" xfId="3" applyNumberFormat="1" applyFont="1" applyFill="1" applyBorder="1" applyAlignment="1" applyProtection="1">
      <alignment horizontal="center" vertical="center" wrapText="1"/>
    </xf>
    <xf numFmtId="9" fontId="20" fillId="0" borderId="3" xfId="0" applyNumberFormat="1" applyFont="1" applyFill="1" applyBorder="1" applyAlignment="1">
      <alignment horizontal="center" vertical="center" wrapText="1"/>
    </xf>
    <xf numFmtId="9" fontId="21" fillId="0" borderId="3" xfId="9" applyFont="1" applyFill="1" applyBorder="1" applyAlignment="1">
      <alignment horizontal="center" vertical="center" wrapText="1"/>
    </xf>
    <xf numFmtId="9" fontId="21" fillId="0" borderId="54" xfId="9" applyFont="1" applyBorder="1" applyAlignment="1">
      <alignment horizontal="center" vertical="center" wrapText="1"/>
    </xf>
    <xf numFmtId="0" fontId="20" fillId="0" borderId="3" xfId="4" applyNumberFormat="1" applyFont="1" applyFill="1" applyBorder="1" applyAlignment="1">
      <alignment horizontal="center" vertical="center" wrapText="1"/>
    </xf>
    <xf numFmtId="9" fontId="21" fillId="0" borderId="54" xfId="9" applyFont="1" applyFill="1" applyBorder="1" applyAlignment="1">
      <alignment horizontal="center" vertical="center" wrapText="1"/>
    </xf>
    <xf numFmtId="10" fontId="20" fillId="4" borderId="63" xfId="3" applyNumberFormat="1" applyFont="1" applyFill="1" applyBorder="1" applyAlignment="1" applyProtection="1">
      <alignment horizontal="center" vertical="center" wrapText="1"/>
    </xf>
    <xf numFmtId="9" fontId="20" fillId="0" borderId="62" xfId="9" applyFont="1" applyFill="1" applyBorder="1" applyAlignment="1" applyProtection="1">
      <alignment horizontal="center" vertical="center" wrapText="1"/>
      <protection locked="0"/>
    </xf>
    <xf numFmtId="9" fontId="21" fillId="0" borderId="62" xfId="0" applyNumberFormat="1" applyFont="1" applyFill="1" applyBorder="1" applyAlignment="1">
      <alignment horizontal="center" vertical="center" wrapText="1"/>
    </xf>
    <xf numFmtId="9" fontId="21" fillId="0" borderId="55" xfId="9" applyFont="1" applyBorder="1" applyAlignment="1">
      <alignment horizontal="center" vertical="center" wrapText="1"/>
    </xf>
    <xf numFmtId="9" fontId="20" fillId="0" borderId="62" xfId="9" quotePrefix="1" applyFont="1" applyFill="1" applyBorder="1" applyAlignment="1" applyProtection="1">
      <alignment horizontal="center" vertical="center" wrapText="1"/>
      <protection locked="0"/>
    </xf>
    <xf numFmtId="9" fontId="21" fillId="0" borderId="62" xfId="9" applyFont="1" applyFill="1" applyBorder="1" applyAlignment="1">
      <alignment horizontal="center" vertical="center" wrapText="1"/>
    </xf>
    <xf numFmtId="168" fontId="20" fillId="0" borderId="62" xfId="9" applyNumberFormat="1" applyFont="1" applyFill="1" applyBorder="1" applyAlignment="1" applyProtection="1">
      <alignment horizontal="center" vertical="center" wrapText="1"/>
      <protection locked="0"/>
    </xf>
    <xf numFmtId="0" fontId="20" fillId="0" borderId="62" xfId="4" applyNumberFormat="1" applyFont="1" applyFill="1" applyBorder="1" applyAlignment="1">
      <alignment horizontal="center" vertical="center" wrapText="1"/>
    </xf>
    <xf numFmtId="0" fontId="28" fillId="0" borderId="79" xfId="0" applyFont="1" applyFill="1" applyBorder="1" applyAlignment="1">
      <alignment horizontal="left" vertical="center" wrapText="1"/>
    </xf>
    <xf numFmtId="0" fontId="19" fillId="0" borderId="35" xfId="0" applyFont="1" applyFill="1" applyBorder="1" applyAlignment="1">
      <alignment horizontal="center" vertical="center" wrapText="1"/>
    </xf>
    <xf numFmtId="0" fontId="19" fillId="0" borderId="61" xfId="0" applyFont="1" applyFill="1" applyBorder="1" applyAlignment="1">
      <alignment horizontal="left" vertical="center" wrapText="1"/>
    </xf>
    <xf numFmtId="0" fontId="19" fillId="0" borderId="78" xfId="0" applyFont="1" applyFill="1" applyBorder="1" applyAlignment="1">
      <alignment horizontal="left" vertical="center" wrapText="1"/>
    </xf>
    <xf numFmtId="9" fontId="19" fillId="0" borderId="78" xfId="9" applyFont="1" applyBorder="1" applyAlignment="1">
      <alignment horizontal="left" vertical="center" wrapText="1"/>
    </xf>
    <xf numFmtId="9" fontId="19" fillId="0" borderId="79" xfId="9" applyFont="1" applyFill="1" applyBorder="1" applyAlignment="1">
      <alignment horizontal="left" vertical="center" wrapText="1"/>
    </xf>
    <xf numFmtId="0" fontId="19" fillId="0" borderId="61" xfId="0" applyFont="1" applyBorder="1" applyAlignment="1">
      <alignment horizontal="center" vertical="center" wrapText="1"/>
    </xf>
    <xf numFmtId="0" fontId="20" fillId="0" borderId="78" xfId="0" applyFont="1" applyFill="1" applyBorder="1" applyAlignment="1">
      <alignment horizontal="center" vertical="center" wrapText="1"/>
    </xf>
    <xf numFmtId="9" fontId="19" fillId="0" borderId="78" xfId="9" applyFont="1" applyFill="1" applyBorder="1" applyAlignment="1">
      <alignment horizontal="center" vertical="center" wrapText="1"/>
    </xf>
    <xf numFmtId="9" fontId="19" fillId="0" borderId="79" xfId="9" applyFont="1" applyFill="1" applyBorder="1" applyAlignment="1">
      <alignment horizontal="center" vertical="center" wrapText="1"/>
    </xf>
    <xf numFmtId="0" fontId="19" fillId="0" borderId="78" xfId="0" applyFont="1" applyFill="1" applyBorder="1" applyAlignment="1">
      <alignment horizontal="center" vertical="center" wrapText="1"/>
    </xf>
    <xf numFmtId="9" fontId="19" fillId="0" borderId="78" xfId="0" applyNumberFormat="1" applyFont="1" applyFill="1" applyBorder="1" applyAlignment="1">
      <alignment horizontal="center" vertical="center" wrapText="1"/>
    </xf>
    <xf numFmtId="9" fontId="18" fillId="0" borderId="78" xfId="0" applyNumberFormat="1" applyFont="1" applyFill="1" applyBorder="1" applyAlignment="1">
      <alignment horizontal="center" vertical="center" wrapText="1"/>
    </xf>
    <xf numFmtId="0" fontId="19" fillId="0" borderId="78" xfId="0" applyNumberFormat="1" applyFont="1" applyFill="1" applyBorder="1" applyAlignment="1">
      <alignment horizontal="center" vertical="center" wrapText="1"/>
    </xf>
    <xf numFmtId="9" fontId="19" fillId="0" borderId="80" xfId="0" applyNumberFormat="1" applyFont="1" applyFill="1" applyBorder="1" applyAlignment="1">
      <alignment horizontal="center" vertical="center" wrapText="1"/>
    </xf>
    <xf numFmtId="0" fontId="26" fillId="7" borderId="65" xfId="0" applyFont="1" applyFill="1" applyBorder="1" applyAlignment="1">
      <alignment horizontal="center" vertical="center" wrapText="1"/>
    </xf>
    <xf numFmtId="9" fontId="18" fillId="7" borderId="65" xfId="9" applyFont="1" applyFill="1" applyBorder="1" applyAlignment="1">
      <alignment horizontal="center" vertical="center" wrapText="1"/>
    </xf>
    <xf numFmtId="0" fontId="21" fillId="7" borderId="37" xfId="0" applyFont="1" applyFill="1" applyBorder="1" applyAlignment="1">
      <alignment horizontal="center" vertical="center" wrapText="1"/>
    </xf>
    <xf numFmtId="0" fontId="21" fillId="7" borderId="57" xfId="0" applyFont="1" applyFill="1" applyBorder="1" applyAlignment="1">
      <alignment horizontal="center" vertical="center" wrapText="1"/>
    </xf>
    <xf numFmtId="0" fontId="20" fillId="3" borderId="33" xfId="0" applyFont="1" applyFill="1" applyBorder="1" applyAlignment="1">
      <alignment horizontal="left" vertical="top" wrapText="1"/>
    </xf>
    <xf numFmtId="0" fontId="17" fillId="0" borderId="3" xfId="0" applyFont="1" applyBorder="1" applyAlignment="1">
      <alignment horizontal="left" vertical="top" wrapText="1"/>
    </xf>
    <xf numFmtId="10" fontId="20" fillId="4" borderId="3" xfId="3" applyNumberFormat="1" applyFont="1" applyFill="1" applyBorder="1" applyAlignment="1" applyProtection="1">
      <alignment horizontal="left" vertical="top" wrapText="1"/>
    </xf>
    <xf numFmtId="0" fontId="20" fillId="0" borderId="3" xfId="0" applyFont="1" applyFill="1" applyBorder="1" applyAlignment="1">
      <alignment horizontal="left" vertical="top" wrapText="1"/>
    </xf>
    <xf numFmtId="9" fontId="21" fillId="0" borderId="3" xfId="0" applyNumberFormat="1" applyFont="1" applyFill="1" applyBorder="1" applyAlignment="1">
      <alignment horizontal="center" vertical="top" wrapText="1"/>
    </xf>
    <xf numFmtId="171" fontId="20" fillId="0" borderId="3" xfId="4" applyNumberFormat="1" applyFont="1" applyFill="1" applyBorder="1" applyAlignment="1">
      <alignment vertical="top" wrapText="1"/>
    </xf>
    <xf numFmtId="171" fontId="20" fillId="0" borderId="3" xfId="0" applyNumberFormat="1" applyFont="1" applyBorder="1" applyAlignment="1">
      <alignment horizontal="right" vertical="top" wrapText="1"/>
    </xf>
    <xf numFmtId="9" fontId="21" fillId="0" borderId="46" xfId="9" applyFont="1" applyBorder="1" applyAlignment="1">
      <alignment horizontal="center" vertical="top" wrapText="1"/>
    </xf>
    <xf numFmtId="10" fontId="20" fillId="4" borderId="64" xfId="3" applyNumberFormat="1" applyFont="1" applyFill="1" applyBorder="1" applyAlignment="1" applyProtection="1">
      <alignment horizontal="center" vertical="top" wrapText="1"/>
    </xf>
    <xf numFmtId="0" fontId="20" fillId="0" borderId="3" xfId="0" applyFont="1" applyFill="1" applyBorder="1" applyAlignment="1">
      <alignment horizontal="center" vertical="top" wrapText="1"/>
    </xf>
    <xf numFmtId="0" fontId="17" fillId="0" borderId="3" xfId="0" applyFont="1" applyFill="1" applyBorder="1" applyAlignment="1">
      <alignment horizontal="left" vertical="top" wrapText="1"/>
    </xf>
    <xf numFmtId="1" fontId="20" fillId="0" borderId="3" xfId="0" applyNumberFormat="1" applyFont="1" applyFill="1" applyBorder="1" applyAlignment="1">
      <alignment horizontal="center" vertical="top" wrapText="1"/>
    </xf>
    <xf numFmtId="1" fontId="20" fillId="0" borderId="63" xfId="0" applyNumberFormat="1" applyFont="1" applyFill="1" applyBorder="1" applyAlignment="1">
      <alignment horizontal="center" vertical="top" wrapText="1"/>
    </xf>
    <xf numFmtId="0" fontId="20" fillId="0" borderId="62" xfId="0" applyFont="1" applyFill="1" applyBorder="1" applyAlignment="1">
      <alignment horizontal="center" vertical="top" wrapText="1"/>
    </xf>
    <xf numFmtId="9" fontId="19" fillId="0" borderId="0" xfId="0" applyNumberFormat="1" applyFont="1" applyAlignment="1">
      <alignment horizontal="left" vertical="top" wrapText="1"/>
    </xf>
    <xf numFmtId="10" fontId="19" fillId="5" borderId="3" xfId="0" applyNumberFormat="1" applyFont="1" applyFill="1" applyBorder="1" applyAlignment="1">
      <alignment horizontal="center" vertical="top" wrapText="1"/>
    </xf>
    <xf numFmtId="0" fontId="17" fillId="0" borderId="46" xfId="0" applyFont="1" applyBorder="1" applyAlignment="1">
      <alignment horizontal="left" vertical="top" wrapText="1"/>
    </xf>
    <xf numFmtId="0" fontId="20" fillId="0" borderId="62" xfId="0" applyFont="1" applyFill="1" applyBorder="1" applyAlignment="1">
      <alignment horizontal="left" vertical="top" wrapText="1"/>
    </xf>
    <xf numFmtId="171" fontId="20" fillId="0" borderId="62" xfId="4" applyNumberFormat="1" applyFont="1" applyFill="1" applyBorder="1" applyAlignment="1">
      <alignment vertical="top" wrapText="1"/>
    </xf>
    <xf numFmtId="171" fontId="20" fillId="0" borderId="62" xfId="0" applyNumberFormat="1" applyFont="1" applyBorder="1" applyAlignment="1">
      <alignment horizontal="right" vertical="top" wrapText="1"/>
    </xf>
    <xf numFmtId="171" fontId="20" fillId="0" borderId="62" xfId="4" applyNumberFormat="1" applyFont="1" applyFill="1" applyBorder="1" applyAlignment="1">
      <alignment horizontal="center" vertical="top" wrapText="1"/>
    </xf>
    <xf numFmtId="171" fontId="20" fillId="0" borderId="62" xfId="0" applyNumberFormat="1" applyFont="1" applyFill="1" applyBorder="1" applyAlignment="1">
      <alignment horizontal="right" vertical="top" wrapText="1"/>
    </xf>
    <xf numFmtId="9" fontId="21" fillId="0" borderId="55" xfId="9" applyFont="1" applyFill="1" applyBorder="1" applyAlignment="1">
      <alignment horizontal="center" vertical="top" wrapText="1"/>
    </xf>
    <xf numFmtId="9" fontId="21" fillId="7" borderId="57" xfId="0" applyNumberFormat="1" applyFont="1" applyFill="1" applyBorder="1" applyAlignment="1">
      <alignment horizontal="center" vertical="center" wrapText="1"/>
    </xf>
    <xf numFmtId="9" fontId="21" fillId="7" borderId="56" xfId="0" applyNumberFormat="1" applyFont="1" applyFill="1" applyBorder="1" applyAlignment="1">
      <alignment horizontal="center" vertical="center" wrapText="1"/>
    </xf>
    <xf numFmtId="9" fontId="20" fillId="5" borderId="3" xfId="9" applyFont="1" applyFill="1" applyBorder="1" applyAlignment="1" applyProtection="1">
      <alignment horizontal="left" vertical="top" wrapText="1"/>
      <protection locked="0"/>
    </xf>
    <xf numFmtId="0" fontId="11" fillId="6" borderId="4" xfId="0" applyFont="1" applyFill="1" applyBorder="1" applyAlignment="1">
      <alignment horizontal="center" vertical="center" wrapText="1"/>
    </xf>
    <xf numFmtId="0" fontId="5" fillId="0" borderId="42" xfId="0" applyFont="1" applyFill="1" applyBorder="1" applyAlignment="1">
      <alignment horizontal="left" vertical="top" wrapText="1"/>
    </xf>
    <xf numFmtId="9" fontId="8" fillId="0" borderId="6" xfId="9" applyFont="1" applyFill="1" applyBorder="1" applyAlignment="1">
      <alignment horizontal="center" vertical="top" wrapText="1"/>
    </xf>
    <xf numFmtId="9" fontId="8" fillId="0" borderId="34" xfId="9" applyFont="1" applyFill="1" applyBorder="1" applyAlignment="1">
      <alignment horizontal="center" vertical="top" wrapText="1"/>
    </xf>
    <xf numFmtId="171" fontId="5" fillId="0" borderId="6" xfId="4" applyNumberFormat="1" applyFont="1" applyFill="1" applyBorder="1" applyAlignment="1">
      <alignment horizontal="center" vertical="top" wrapText="1"/>
    </xf>
    <xf numFmtId="171" fontId="5" fillId="0" borderId="7" xfId="4" applyNumberFormat="1" applyFont="1" applyFill="1" applyBorder="1" applyAlignment="1">
      <alignment horizontal="center" vertical="top" wrapText="1"/>
    </xf>
    <xf numFmtId="171" fontId="5" fillId="0" borderId="6" xfId="0" applyNumberFormat="1" applyFont="1" applyFill="1" applyBorder="1" applyAlignment="1">
      <alignment horizontal="center" vertical="top" wrapText="1"/>
    </xf>
    <xf numFmtId="171" fontId="5" fillId="0" borderId="7" xfId="0" applyNumberFormat="1" applyFont="1" applyFill="1" applyBorder="1" applyAlignment="1">
      <alignment horizontal="center" vertical="top" wrapText="1"/>
    </xf>
    <xf numFmtId="9" fontId="8" fillId="0" borderId="6" xfId="9" applyFont="1" applyBorder="1" applyAlignment="1">
      <alignment horizontal="center" vertical="top" wrapText="1"/>
    </xf>
    <xf numFmtId="9" fontId="8" fillId="0" borderId="7" xfId="9" applyFont="1" applyBorder="1" applyAlignment="1">
      <alignment horizontal="center" vertical="top" wrapText="1"/>
    </xf>
    <xf numFmtId="171" fontId="5" fillId="0" borderId="34" xfId="4" applyNumberFormat="1" applyFont="1" applyFill="1" applyBorder="1" applyAlignment="1">
      <alignment horizontal="center" vertical="top" wrapText="1"/>
    </xf>
    <xf numFmtId="171" fontId="5" fillId="0" borderId="34" xfId="0" applyNumberFormat="1" applyFont="1" applyFill="1" applyBorder="1" applyAlignment="1">
      <alignment horizontal="center" vertical="top" wrapText="1"/>
    </xf>
    <xf numFmtId="0" fontId="6" fillId="6" borderId="34" xfId="0" applyFont="1" applyFill="1" applyBorder="1" applyAlignment="1">
      <alignment horizontal="center" vertical="top" wrapText="1"/>
    </xf>
    <xf numFmtId="0" fontId="6" fillId="6" borderId="3" xfId="0" applyFont="1" applyFill="1" applyBorder="1" applyAlignment="1">
      <alignment horizontal="center" vertical="top" wrapText="1"/>
    </xf>
    <xf numFmtId="171" fontId="6" fillId="6" borderId="34" xfId="0" applyNumberFormat="1" applyFont="1" applyFill="1" applyBorder="1" applyAlignment="1">
      <alignment horizontal="center" vertical="top" wrapText="1"/>
    </xf>
    <xf numFmtId="9" fontId="12" fillId="6" borderId="45" xfId="9" applyFont="1" applyFill="1" applyBorder="1" applyAlignment="1">
      <alignment horizontal="center" vertical="top" wrapText="1"/>
    </xf>
    <xf numFmtId="9" fontId="12" fillId="6" borderId="46" xfId="9" applyFont="1" applyFill="1" applyBorder="1" applyAlignment="1">
      <alignment horizontal="center" vertical="top" wrapText="1"/>
    </xf>
    <xf numFmtId="0" fontId="6" fillId="0" borderId="3" xfId="0" applyFont="1" applyBorder="1" applyAlignment="1">
      <alignment horizontal="center" vertical="top" wrapText="1"/>
    </xf>
    <xf numFmtId="0" fontId="13" fillId="6" borderId="3" xfId="0" applyFont="1" applyFill="1" applyBorder="1" applyAlignment="1">
      <alignment horizontal="center" vertical="top" wrapText="1"/>
    </xf>
    <xf numFmtId="0" fontId="6" fillId="0" borderId="0" xfId="0" applyFont="1" applyAlignment="1">
      <alignment horizontal="center"/>
    </xf>
    <xf numFmtId="0" fontId="6" fillId="0" borderId="0" xfId="0" applyFont="1" applyAlignment="1">
      <alignment horizontal="center" vertical="center" wrapText="1"/>
    </xf>
    <xf numFmtId="0" fontId="6" fillId="0" borderId="0" xfId="0" applyFont="1" applyAlignment="1">
      <alignment horizontal="center" vertical="top" wrapText="1"/>
    </xf>
    <xf numFmtId="0" fontId="6" fillId="0" borderId="20" xfId="0" applyFont="1" applyBorder="1" applyAlignment="1">
      <alignment horizontal="center" vertical="top" wrapText="1"/>
    </xf>
    <xf numFmtId="0" fontId="6" fillId="0" borderId="21" xfId="0" applyFont="1" applyBorder="1" applyAlignment="1">
      <alignment horizontal="center" vertical="top" wrapText="1"/>
    </xf>
    <xf numFmtId="0" fontId="6" fillId="0" borderId="22" xfId="0" applyFont="1" applyBorder="1" applyAlignment="1">
      <alignment horizontal="center" vertical="top" wrapText="1"/>
    </xf>
    <xf numFmtId="0" fontId="6" fillId="0" borderId="20" xfId="0" applyFont="1" applyFill="1" applyBorder="1" applyAlignment="1">
      <alignment horizontal="center" vertical="top" wrapText="1"/>
    </xf>
    <xf numFmtId="0" fontId="6" fillId="0" borderId="21" xfId="0" applyFont="1" applyFill="1" applyBorder="1" applyAlignment="1">
      <alignment horizontal="center" vertical="top" wrapText="1"/>
    </xf>
    <xf numFmtId="0" fontId="6" fillId="0" borderId="22" xfId="0" applyFont="1" applyFill="1" applyBorder="1" applyAlignment="1">
      <alignment horizontal="center" vertical="top" wrapText="1"/>
    </xf>
    <xf numFmtId="0" fontId="18" fillId="7" borderId="9"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8" fillId="7" borderId="10"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19" fillId="7" borderId="10" xfId="0" applyFont="1" applyFill="1" applyBorder="1" applyAlignment="1">
      <alignment horizontal="center" vertical="center" wrapText="1"/>
    </xf>
    <xf numFmtId="0" fontId="20" fillId="7" borderId="10" xfId="0" applyFont="1" applyFill="1" applyBorder="1" applyAlignment="1">
      <alignment horizontal="center" vertical="center" wrapText="1"/>
    </xf>
    <xf numFmtId="0" fontId="18" fillId="7" borderId="50"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18" fillId="7" borderId="19" xfId="0" applyFont="1" applyFill="1" applyBorder="1" applyAlignment="1">
      <alignment horizontal="center" vertical="center" wrapText="1"/>
    </xf>
    <xf numFmtId="0" fontId="18" fillId="7" borderId="57" xfId="0" applyFont="1" applyFill="1" applyBorder="1" applyAlignment="1">
      <alignment horizontal="center" vertical="center" wrapText="1"/>
    </xf>
    <xf numFmtId="0" fontId="18" fillId="7" borderId="30" xfId="0" applyFont="1" applyFill="1" applyBorder="1" applyAlignment="1">
      <alignment horizontal="center" vertical="center" wrapText="1"/>
    </xf>
    <xf numFmtId="0" fontId="18" fillId="7" borderId="31"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37" xfId="0" applyFont="1" applyFill="1" applyBorder="1" applyAlignment="1">
      <alignment horizontal="center" vertical="center" wrapText="1"/>
    </xf>
    <xf numFmtId="0" fontId="17" fillId="7" borderId="35" xfId="0" applyFont="1" applyFill="1" applyBorder="1" applyAlignment="1">
      <alignment horizontal="center" vertical="center" wrapText="1"/>
    </xf>
    <xf numFmtId="0" fontId="17" fillId="7" borderId="56" xfId="0" applyFont="1" applyFill="1" applyBorder="1" applyAlignment="1">
      <alignment horizontal="center" vertical="center" wrapText="1"/>
    </xf>
    <xf numFmtId="0" fontId="21" fillId="7" borderId="20" xfId="0" applyFont="1" applyFill="1" applyBorder="1" applyAlignment="1">
      <alignment horizontal="center" vertical="center" wrapText="1"/>
    </xf>
    <xf numFmtId="0" fontId="21" fillId="7" borderId="22" xfId="0" applyFont="1" applyFill="1" applyBorder="1" applyAlignment="1">
      <alignment horizontal="center" vertical="center" wrapText="1"/>
    </xf>
    <xf numFmtId="0" fontId="18" fillId="7" borderId="20" xfId="0" applyFont="1" applyFill="1" applyBorder="1" applyAlignment="1">
      <alignment horizontal="center" vertical="center" wrapText="1"/>
    </xf>
    <xf numFmtId="0" fontId="18" fillId="7" borderId="59" xfId="0" applyFont="1" applyFill="1" applyBorder="1" applyAlignment="1">
      <alignment horizontal="center" vertical="center" wrapText="1"/>
    </xf>
    <xf numFmtId="0" fontId="18" fillId="7" borderId="56" xfId="0" applyFont="1" applyFill="1" applyBorder="1" applyAlignment="1">
      <alignment horizontal="center" vertical="center" wrapText="1"/>
    </xf>
    <xf numFmtId="0" fontId="19" fillId="7" borderId="20" xfId="0" applyFont="1" applyFill="1" applyBorder="1" applyAlignment="1">
      <alignment horizontal="center" vertical="center" wrapText="1"/>
    </xf>
    <xf numFmtId="0" fontId="19" fillId="7" borderId="21"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9" fillId="0" borderId="19"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61" xfId="0" applyFont="1" applyBorder="1" applyAlignment="1">
      <alignment horizontal="center" vertical="center" wrapText="1"/>
    </xf>
    <xf numFmtId="0" fontId="20" fillId="3" borderId="25" xfId="0" applyFont="1" applyFill="1" applyBorder="1" applyAlignment="1">
      <alignment horizontal="left" vertical="center" wrapText="1"/>
    </xf>
    <xf numFmtId="0" fontId="20" fillId="3" borderId="78" xfId="0" applyFont="1" applyFill="1" applyBorder="1" applyAlignment="1">
      <alignment horizontal="left" vertical="center" wrapText="1"/>
    </xf>
    <xf numFmtId="0" fontId="17" fillId="0" borderId="26" xfId="0" applyFont="1" applyBorder="1" applyAlignment="1">
      <alignment horizontal="left" vertical="center" wrapText="1"/>
    </xf>
    <xf numFmtId="0" fontId="17" fillId="0" borderId="79" xfId="0" applyFont="1" applyBorder="1" applyAlignment="1">
      <alignment horizontal="left" vertical="center" wrapText="1"/>
    </xf>
    <xf numFmtId="0" fontId="17" fillId="7" borderId="9" xfId="0" applyFont="1" applyFill="1" applyBorder="1" applyAlignment="1">
      <alignment horizontal="left" vertical="center" wrapText="1"/>
    </xf>
    <xf numFmtId="0" fontId="17" fillId="7" borderId="4" xfId="0" applyFont="1" applyFill="1" applyBorder="1" applyAlignment="1">
      <alignment horizontal="left" vertical="center" wrapText="1"/>
    </xf>
    <xf numFmtId="0" fontId="17" fillId="7" borderId="10" xfId="0" applyFont="1" applyFill="1" applyBorder="1" applyAlignment="1">
      <alignment horizontal="left" vertical="center" wrapText="1"/>
    </xf>
    <xf numFmtId="0" fontId="17" fillId="7" borderId="37" xfId="0" applyFont="1" applyFill="1" applyBorder="1" applyAlignment="1">
      <alignment horizontal="left" vertical="center" wrapText="1"/>
    </xf>
    <xf numFmtId="0" fontId="17" fillId="7" borderId="35" xfId="0" applyFont="1" applyFill="1" applyBorder="1" applyAlignment="1">
      <alignment horizontal="left" vertical="center" wrapText="1"/>
    </xf>
    <xf numFmtId="0" fontId="17" fillId="7" borderId="56" xfId="0" applyFont="1" applyFill="1" applyBorder="1" applyAlignment="1">
      <alignment horizontal="left" vertical="center" wrapText="1"/>
    </xf>
    <xf numFmtId="0" fontId="24" fillId="7" borderId="9" xfId="0" applyFont="1" applyFill="1" applyBorder="1" applyAlignment="1">
      <alignment horizontal="left" vertical="center" wrapText="1"/>
    </xf>
    <xf numFmtId="0" fontId="24" fillId="7" borderId="4" xfId="0" applyFont="1" applyFill="1" applyBorder="1" applyAlignment="1">
      <alignment horizontal="left" vertical="center" wrapText="1"/>
    </xf>
    <xf numFmtId="0" fontId="24" fillId="7" borderId="37" xfId="0" applyFont="1" applyFill="1" applyBorder="1" applyAlignment="1">
      <alignment horizontal="left" vertical="center" wrapText="1"/>
    </xf>
    <xf numFmtId="0" fontId="24" fillId="7" borderId="35" xfId="0" applyFont="1" applyFill="1" applyBorder="1" applyAlignment="1">
      <alignment horizontal="left" vertical="center" wrapText="1"/>
    </xf>
    <xf numFmtId="0" fontId="6" fillId="6" borderId="4"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15" xfId="0" applyFont="1" applyBorder="1" applyAlignment="1">
      <alignment horizontal="left" vertical="top" wrapText="1"/>
    </xf>
    <xf numFmtId="0" fontId="5" fillId="3" borderId="8" xfId="0" applyFont="1" applyFill="1" applyBorder="1" applyAlignment="1">
      <alignment horizontal="left" vertical="top" wrapText="1"/>
    </xf>
    <xf numFmtId="0" fontId="6" fillId="6" borderId="23"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31"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6" fillId="6" borderId="41" xfId="0" applyFont="1" applyFill="1" applyBorder="1" applyAlignment="1">
      <alignment horizontal="center" vertical="center" wrapText="1"/>
    </xf>
    <xf numFmtId="0" fontId="7" fillId="0" borderId="2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 xfId="0" applyFont="1" applyBorder="1" applyAlignment="1">
      <alignment horizontal="center" vertical="center" wrapText="1"/>
    </xf>
    <xf numFmtId="9" fontId="6" fillId="0" borderId="3" xfId="0" applyNumberFormat="1" applyFont="1" applyFill="1" applyBorder="1" applyAlignment="1">
      <alignment horizontal="center" vertical="center" wrapText="1"/>
    </xf>
    <xf numFmtId="0" fontId="5" fillId="0" borderId="15" xfId="0" applyFont="1" applyFill="1" applyBorder="1" applyAlignment="1">
      <alignment horizontal="left" vertical="top" wrapText="1"/>
    </xf>
    <xf numFmtId="9" fontId="6" fillId="0" borderId="3" xfId="9" applyFont="1" applyFill="1" applyBorder="1" applyAlignment="1">
      <alignment horizontal="center" vertical="center" wrapText="1"/>
    </xf>
    <xf numFmtId="0" fontId="7" fillId="0" borderId="40" xfId="0" applyFont="1" applyBorder="1" applyAlignment="1">
      <alignment horizontal="center" vertical="top" wrapText="1"/>
    </xf>
    <xf numFmtId="0" fontId="7" fillId="0" borderId="41" xfId="0" applyFont="1" applyBorder="1" applyAlignment="1">
      <alignment horizontal="center" vertical="top" wrapText="1"/>
    </xf>
    <xf numFmtId="0" fontId="5" fillId="0" borderId="40" xfId="0" applyFont="1" applyFill="1" applyBorder="1" applyAlignment="1">
      <alignment horizontal="center" vertical="top" wrapText="1"/>
    </xf>
    <xf numFmtId="0" fontId="5" fillId="0" borderId="41" xfId="0" applyFont="1" applyFill="1" applyBorder="1" applyAlignment="1">
      <alignment horizontal="center" vertical="top" wrapText="1"/>
    </xf>
    <xf numFmtId="0" fontId="20" fillId="0" borderId="3" xfId="4" applyNumberFormat="1" applyFont="1" applyFill="1" applyBorder="1" applyAlignment="1">
      <alignment horizontal="center" vertical="center" wrapText="1"/>
    </xf>
    <xf numFmtId="0" fontId="20" fillId="0" borderId="62" xfId="4" applyNumberFormat="1" applyFont="1" applyFill="1" applyBorder="1" applyAlignment="1">
      <alignment horizontal="center" vertical="center" wrapText="1"/>
    </xf>
    <xf numFmtId="9" fontId="21" fillId="0" borderId="54" xfId="9" applyFont="1" applyFill="1" applyBorder="1" applyAlignment="1">
      <alignment horizontal="center" vertical="center" wrapText="1"/>
    </xf>
    <xf numFmtId="9" fontId="21" fillId="0" borderId="55" xfId="9" applyFont="1" applyFill="1" applyBorder="1" applyAlignment="1">
      <alignment horizontal="center" vertical="center" wrapText="1"/>
    </xf>
    <xf numFmtId="0" fontId="18" fillId="7" borderId="4" xfId="0" applyFont="1" applyFill="1" applyBorder="1" applyAlignment="1">
      <alignment horizontal="left" vertical="center" wrapText="1"/>
    </xf>
    <xf numFmtId="0" fontId="18" fillId="7" borderId="35" xfId="0" applyFont="1" applyFill="1" applyBorder="1" applyAlignment="1">
      <alignment horizontal="left" vertical="center" wrapText="1"/>
    </xf>
    <xf numFmtId="0" fontId="6" fillId="7" borderId="20" xfId="0" applyFont="1" applyFill="1" applyBorder="1" applyAlignment="1">
      <alignment horizontal="center" vertical="center" wrapText="1"/>
    </xf>
    <xf numFmtId="0" fontId="6" fillId="7" borderId="21"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8" fillId="7" borderId="20" xfId="0" applyFont="1" applyFill="1" applyBorder="1" applyAlignment="1">
      <alignment horizontal="center" vertical="center" wrapText="1"/>
    </xf>
    <xf numFmtId="0" fontId="8" fillId="7" borderId="22" xfId="0" applyFont="1" applyFill="1" applyBorder="1" applyAlignment="1">
      <alignment horizontal="center" vertical="center" wrapText="1"/>
    </xf>
    <xf numFmtId="171" fontId="5" fillId="0" borderId="66" xfId="0" applyNumberFormat="1" applyFont="1" applyFill="1" applyBorder="1" applyAlignment="1">
      <alignment horizontal="center" vertical="top" wrapText="1"/>
    </xf>
    <xf numFmtId="0" fontId="6" fillId="7" borderId="9" xfId="0" applyFont="1" applyFill="1" applyBorder="1" applyAlignment="1">
      <alignment horizontal="left" vertical="top" wrapText="1"/>
    </xf>
    <xf numFmtId="0" fontId="6" fillId="7" borderId="10" xfId="0" applyFont="1" applyFill="1" applyBorder="1" applyAlignment="1">
      <alignment horizontal="left" vertical="top" wrapText="1"/>
    </xf>
    <xf numFmtId="0" fontId="6" fillId="7" borderId="37" xfId="0" applyFont="1" applyFill="1" applyBorder="1" applyAlignment="1">
      <alignment horizontal="left" vertical="top" wrapText="1"/>
    </xf>
    <xf numFmtId="0" fontId="6" fillId="7" borderId="56" xfId="0" applyFont="1" applyFill="1" applyBorder="1" applyAlignment="1">
      <alignment horizontal="left" vertical="top" wrapText="1"/>
    </xf>
    <xf numFmtId="0" fontId="6" fillId="7" borderId="9"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6" fillId="7" borderId="4" xfId="0" applyFont="1" applyFill="1" applyBorder="1" applyAlignment="1">
      <alignment horizontal="left" vertical="center" wrapText="1"/>
    </xf>
    <xf numFmtId="0" fontId="6" fillId="7" borderId="35" xfId="0" applyFont="1" applyFill="1" applyBorder="1" applyAlignment="1">
      <alignment horizontal="left" vertical="center" wrapText="1"/>
    </xf>
    <xf numFmtId="0" fontId="5" fillId="7" borderId="20"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6" fillId="7" borderId="59" xfId="0" applyFont="1" applyFill="1" applyBorder="1" applyAlignment="1">
      <alignment horizontal="center" vertical="center" wrapText="1"/>
    </xf>
    <xf numFmtId="0" fontId="11" fillId="7" borderId="9" xfId="0" applyFont="1" applyFill="1" applyBorder="1" applyAlignment="1">
      <alignment horizontal="left" vertical="top" wrapText="1"/>
    </xf>
    <xf numFmtId="0" fontId="11" fillId="7" borderId="10" xfId="0" applyFont="1" applyFill="1" applyBorder="1" applyAlignment="1">
      <alignment horizontal="left" vertical="top" wrapText="1"/>
    </xf>
    <xf numFmtId="0" fontId="11" fillId="7" borderId="37" xfId="0" applyFont="1" applyFill="1" applyBorder="1" applyAlignment="1">
      <alignment horizontal="left" vertical="top" wrapText="1"/>
    </xf>
    <xf numFmtId="0" fontId="11" fillId="7" borderId="56" xfId="0" applyFont="1" applyFill="1" applyBorder="1" applyAlignment="1">
      <alignment horizontal="left" vertical="top" wrapText="1"/>
    </xf>
    <xf numFmtId="9" fontId="8" fillId="0" borderId="69" xfId="9" applyFont="1" applyBorder="1" applyAlignment="1">
      <alignment horizontal="center" vertical="top" wrapText="1"/>
    </xf>
    <xf numFmtId="9" fontId="8" fillId="0" borderId="13" xfId="9" applyFont="1" applyBorder="1" applyAlignment="1">
      <alignment horizontal="center" vertical="top" wrapText="1"/>
    </xf>
    <xf numFmtId="9" fontId="8" fillId="0" borderId="12" xfId="9" applyFont="1" applyBorder="1" applyAlignment="1">
      <alignment horizontal="center" vertical="top" wrapText="1"/>
    </xf>
    <xf numFmtId="9" fontId="8" fillId="0" borderId="70" xfId="9" applyFont="1" applyBorder="1" applyAlignment="1">
      <alignment horizontal="center" vertical="top" wrapText="1"/>
    </xf>
    <xf numFmtId="0" fontId="26" fillId="7" borderId="9" xfId="0" applyFont="1" applyFill="1" applyBorder="1" applyAlignment="1">
      <alignment horizontal="left" vertical="top" wrapText="1"/>
    </xf>
    <xf numFmtId="0" fontId="26" fillId="7" borderId="10" xfId="0" applyFont="1" applyFill="1" applyBorder="1" applyAlignment="1">
      <alignment horizontal="left" vertical="top" wrapText="1"/>
    </xf>
    <xf numFmtId="0" fontId="26" fillId="7" borderId="37" xfId="0" applyFont="1" applyFill="1" applyBorder="1" applyAlignment="1">
      <alignment horizontal="left" vertical="top" wrapText="1"/>
    </xf>
    <xf numFmtId="0" fontId="26" fillId="7" borderId="56" xfId="0" applyFont="1" applyFill="1" applyBorder="1" applyAlignment="1">
      <alignment horizontal="left" vertical="top" wrapText="1"/>
    </xf>
    <xf numFmtId="0" fontId="20" fillId="7" borderId="9" xfId="0" applyFont="1" applyFill="1" applyBorder="1" applyAlignment="1">
      <alignment horizontal="center" vertical="center" wrapText="1"/>
    </xf>
    <xf numFmtId="171" fontId="20" fillId="0" borderId="6" xfId="4" applyNumberFormat="1" applyFont="1" applyFill="1" applyBorder="1" applyAlignment="1">
      <alignment horizontal="center" vertical="top" wrapText="1"/>
    </xf>
    <xf numFmtId="171" fontId="20" fillId="0" borderId="66" xfId="4" applyNumberFormat="1" applyFont="1" applyFill="1" applyBorder="1" applyAlignment="1">
      <alignment horizontal="center" vertical="top" wrapText="1"/>
    </xf>
    <xf numFmtId="171" fontId="20" fillId="0" borderId="6" xfId="0" applyNumberFormat="1" applyFont="1" applyFill="1" applyBorder="1" applyAlignment="1">
      <alignment horizontal="center" vertical="top" wrapText="1"/>
    </xf>
    <xf numFmtId="171" fontId="20" fillId="0" borderId="66" xfId="0" applyNumberFormat="1" applyFont="1" applyFill="1" applyBorder="1" applyAlignment="1">
      <alignment horizontal="center" vertical="top" wrapText="1"/>
    </xf>
    <xf numFmtId="9" fontId="21" fillId="0" borderId="12" xfId="9" applyFont="1" applyFill="1" applyBorder="1" applyAlignment="1">
      <alignment horizontal="center" vertical="top" wrapText="1"/>
    </xf>
    <xf numFmtId="9" fontId="21" fillId="0" borderId="71" xfId="9" applyFont="1" applyFill="1" applyBorder="1" applyAlignment="1">
      <alignment horizontal="center" vertical="top" wrapText="1"/>
    </xf>
    <xf numFmtId="0" fontId="18" fillId="7" borderId="9" xfId="0" applyFont="1" applyFill="1" applyBorder="1" applyAlignment="1">
      <alignment horizontal="left" vertical="top" wrapText="1"/>
    </xf>
    <xf numFmtId="0" fontId="18" fillId="7" borderId="4" xfId="0" applyFont="1" applyFill="1" applyBorder="1" applyAlignment="1">
      <alignment horizontal="left" vertical="top" wrapText="1"/>
    </xf>
    <xf numFmtId="0" fontId="18" fillId="7" borderId="37" xfId="0" applyFont="1" applyFill="1" applyBorder="1" applyAlignment="1">
      <alignment horizontal="left" vertical="top" wrapText="1"/>
    </xf>
    <xf numFmtId="0" fontId="18" fillId="7" borderId="35" xfId="0" applyFont="1" applyFill="1" applyBorder="1" applyAlignment="1">
      <alignment horizontal="left" vertical="top" wrapText="1"/>
    </xf>
    <xf numFmtId="0" fontId="24" fillId="7" borderId="10" xfId="0" applyFont="1" applyFill="1" applyBorder="1" applyAlignment="1">
      <alignment horizontal="left" vertical="center" wrapText="1"/>
    </xf>
    <xf numFmtId="0" fontId="24" fillId="7" borderId="56" xfId="0" applyFont="1" applyFill="1" applyBorder="1" applyAlignment="1">
      <alignment horizontal="left" vertical="center" wrapText="1"/>
    </xf>
    <xf numFmtId="0" fontId="20" fillId="3" borderId="8" xfId="0" applyFont="1" applyFill="1" applyBorder="1" applyAlignment="1">
      <alignment horizontal="left" vertical="center" wrapText="1"/>
    </xf>
    <xf numFmtId="0" fontId="27" fillId="0" borderId="15" xfId="0" applyFont="1" applyFill="1" applyBorder="1" applyAlignment="1">
      <alignment vertical="center" wrapText="1"/>
    </xf>
    <xf numFmtId="0" fontId="20" fillId="0" borderId="14" xfId="0" applyFont="1" applyFill="1" applyBorder="1" applyAlignment="1">
      <alignment vertical="center" wrapText="1"/>
    </xf>
    <xf numFmtId="0" fontId="20" fillId="0" borderId="8" xfId="0" applyFont="1" applyFill="1" applyBorder="1" applyAlignment="1">
      <alignment vertical="center" wrapText="1"/>
    </xf>
    <xf numFmtId="9" fontId="19" fillId="0" borderId="8" xfId="9" applyFont="1" applyBorder="1" applyAlignment="1">
      <alignment horizontal="left" vertical="center" wrapText="1"/>
    </xf>
    <xf numFmtId="9" fontId="19" fillId="0" borderId="15" xfId="9" applyFont="1" applyFill="1" applyBorder="1" applyAlignment="1">
      <alignment horizontal="left" vertical="center" wrapText="1"/>
    </xf>
    <xf numFmtId="0" fontId="19" fillId="0" borderId="14" xfId="0" applyFont="1" applyBorder="1" applyAlignment="1">
      <alignment horizontal="center" vertical="center" wrapText="1"/>
    </xf>
    <xf numFmtId="0" fontId="19" fillId="0" borderId="8" xfId="0" applyFont="1" applyFill="1" applyBorder="1" applyAlignment="1">
      <alignment horizontal="center" vertical="center" wrapText="1"/>
    </xf>
    <xf numFmtId="9" fontId="19" fillId="0" borderId="8" xfId="9" applyFont="1" applyFill="1" applyBorder="1" applyAlignment="1">
      <alignment horizontal="center" vertical="center" wrapText="1"/>
    </xf>
    <xf numFmtId="9" fontId="19" fillId="0" borderId="15" xfId="9" applyFont="1" applyFill="1" applyBorder="1" applyAlignment="1">
      <alignment horizontal="center" vertical="center" wrapText="1"/>
    </xf>
    <xf numFmtId="9" fontId="19" fillId="0" borderId="14" xfId="0" applyNumberFormat="1" applyFont="1" applyBorder="1" applyAlignment="1">
      <alignment horizontal="center" vertical="center" wrapText="1"/>
    </xf>
    <xf numFmtId="9" fontId="19" fillId="0" borderId="8" xfId="0" applyNumberFormat="1" applyFont="1" applyFill="1" applyBorder="1" applyAlignment="1">
      <alignment horizontal="center" vertical="center" wrapText="1"/>
    </xf>
    <xf numFmtId="9" fontId="19" fillId="0" borderId="8" xfId="9" applyNumberFormat="1" applyFont="1" applyFill="1" applyBorder="1" applyAlignment="1">
      <alignment horizontal="center" vertical="center" wrapText="1"/>
    </xf>
    <xf numFmtId="9" fontId="18" fillId="0" borderId="8" xfId="0" applyNumberFormat="1" applyFont="1" applyFill="1" applyBorder="1" applyAlignment="1">
      <alignment horizontal="center" vertical="center" wrapText="1"/>
    </xf>
    <xf numFmtId="0" fontId="19" fillId="0" borderId="8" xfId="0" applyNumberFormat="1" applyFont="1" applyFill="1" applyBorder="1" applyAlignment="1">
      <alignment horizontal="center" vertical="center" wrapText="1"/>
    </xf>
    <xf numFmtId="9" fontId="19" fillId="0" borderId="42" xfId="0" applyNumberFormat="1" applyFont="1" applyFill="1" applyBorder="1" applyAlignment="1">
      <alignment horizontal="center" vertical="center" wrapText="1"/>
    </xf>
    <xf numFmtId="0" fontId="19" fillId="8" borderId="46" xfId="0" applyFont="1" applyFill="1" applyBorder="1" applyAlignment="1">
      <alignment horizontal="center" vertical="center" wrapText="1"/>
    </xf>
    <xf numFmtId="0" fontId="30" fillId="0" borderId="0" xfId="0" applyFont="1" applyAlignment="1">
      <alignment vertical="top" wrapText="1"/>
    </xf>
    <xf numFmtId="0" fontId="30" fillId="0" borderId="0" xfId="0" applyFont="1" applyAlignment="1">
      <alignment horizontal="left" vertical="top" wrapText="1"/>
    </xf>
    <xf numFmtId="173" fontId="30" fillId="0" borderId="0" xfId="0" applyNumberFormat="1" applyFont="1" applyAlignment="1">
      <alignment vertical="top" wrapText="1"/>
    </xf>
    <xf numFmtId="174" fontId="30" fillId="0" borderId="48" xfId="0" applyNumberFormat="1" applyFont="1" applyBorder="1"/>
    <xf numFmtId="0" fontId="30" fillId="0" borderId="0" xfId="0" applyFont="1" applyFill="1" applyAlignment="1">
      <alignment vertical="top" wrapText="1"/>
    </xf>
    <xf numFmtId="174" fontId="30" fillId="0" borderId="18" xfId="0" applyNumberFormat="1" applyFont="1" applyFill="1" applyBorder="1" applyAlignment="1">
      <alignment vertical="top"/>
    </xf>
    <xf numFmtId="0" fontId="30" fillId="0" borderId="17" xfId="0" applyFont="1" applyFill="1" applyBorder="1" applyAlignment="1">
      <alignment horizontal="left" vertical="top" wrapText="1"/>
    </xf>
    <xf numFmtId="0" fontId="31" fillId="0" borderId="17" xfId="0" applyFont="1" applyFill="1" applyBorder="1" applyAlignment="1">
      <alignment horizontal="left" vertical="top" wrapText="1"/>
    </xf>
    <xf numFmtId="0" fontId="32" fillId="0" borderId="17" xfId="0" applyFont="1" applyFill="1" applyBorder="1" applyAlignment="1">
      <alignment vertical="top" wrapText="1"/>
    </xf>
    <xf numFmtId="0" fontId="20" fillId="0" borderId="16" xfId="0" applyFont="1" applyFill="1" applyBorder="1" applyAlignment="1" applyProtection="1">
      <alignment horizontal="left" vertical="top" wrapText="1"/>
      <protection hidden="1"/>
    </xf>
    <xf numFmtId="174" fontId="30" fillId="0" borderId="75" xfId="0" applyNumberFormat="1" applyFont="1" applyFill="1" applyBorder="1" applyAlignment="1">
      <alignment vertical="top"/>
    </xf>
    <xf numFmtId="0" fontId="30" fillId="0" borderId="74" xfId="0" applyFont="1" applyFill="1" applyBorder="1" applyAlignment="1">
      <alignment horizontal="left" vertical="top" wrapText="1"/>
    </xf>
    <xf numFmtId="0" fontId="31" fillId="0" borderId="74" xfId="0" applyFont="1" applyFill="1" applyBorder="1" applyAlignment="1">
      <alignment horizontal="left" vertical="top" wrapText="1"/>
    </xf>
    <xf numFmtId="0" fontId="32" fillId="0" borderId="74" xfId="0" applyFont="1" applyFill="1" applyBorder="1" applyAlignment="1">
      <alignment vertical="top" wrapText="1"/>
    </xf>
    <xf numFmtId="0" fontId="20" fillId="0" borderId="76" xfId="0" applyFont="1" applyFill="1" applyBorder="1" applyAlignment="1" applyProtection="1">
      <alignment horizontal="left" vertical="top" wrapText="1"/>
      <protection hidden="1"/>
    </xf>
    <xf numFmtId="174" fontId="30" fillId="0" borderId="15" xfId="0" applyNumberFormat="1" applyFont="1" applyFill="1" applyBorder="1" applyAlignment="1">
      <alignment vertical="top"/>
    </xf>
    <xf numFmtId="0" fontId="30" fillId="0" borderId="8" xfId="0" applyFont="1" applyFill="1" applyBorder="1" applyAlignment="1">
      <alignment horizontal="left" vertical="top" wrapText="1"/>
    </xf>
    <xf numFmtId="0" fontId="31" fillId="0" borderId="8" xfId="0" applyFont="1" applyFill="1" applyBorder="1" applyAlignment="1">
      <alignment horizontal="left" vertical="top" wrapText="1"/>
    </xf>
    <xf numFmtId="0" fontId="32" fillId="0" borderId="8" xfId="0" applyFont="1" applyFill="1" applyBorder="1" applyAlignment="1">
      <alignment vertical="top" wrapText="1"/>
    </xf>
    <xf numFmtId="0" fontId="20" fillId="0" borderId="14" xfId="0" applyFont="1" applyFill="1" applyBorder="1" applyAlignment="1" applyProtection="1">
      <alignment horizontal="left" vertical="top" wrapText="1"/>
      <protection hidden="1"/>
    </xf>
    <xf numFmtId="0" fontId="30" fillId="0" borderId="17" xfId="0" applyFont="1" applyFill="1" applyBorder="1" applyAlignment="1">
      <alignment vertical="top" wrapText="1"/>
    </xf>
    <xf numFmtId="0" fontId="19" fillId="0" borderId="17" xfId="0" applyFont="1" applyFill="1" applyBorder="1" applyAlignment="1" applyProtection="1">
      <alignment horizontal="left" vertical="top" wrapText="1"/>
      <protection locked="0" hidden="1"/>
    </xf>
    <xf numFmtId="0" fontId="19" fillId="0" borderId="17" xfId="0" applyFont="1" applyFill="1" applyBorder="1" applyAlignment="1" applyProtection="1">
      <alignment vertical="top" wrapText="1"/>
      <protection locked="0"/>
    </xf>
    <xf numFmtId="0" fontId="30" fillId="0" borderId="8" xfId="0" applyFont="1" applyFill="1" applyBorder="1" applyAlignment="1">
      <alignment vertical="top" wrapText="1"/>
    </xf>
    <xf numFmtId="0" fontId="19" fillId="0" borderId="8" xfId="0" applyFont="1" applyFill="1" applyBorder="1" applyAlignment="1" applyProtection="1">
      <alignment horizontal="left" vertical="top" wrapText="1"/>
      <protection locked="0" hidden="1"/>
    </xf>
    <xf numFmtId="0" fontId="19" fillId="0" borderId="8" xfId="0" applyFont="1" applyFill="1" applyBorder="1" applyAlignment="1" applyProtection="1">
      <alignment vertical="top" wrapText="1"/>
      <protection locked="0"/>
    </xf>
    <xf numFmtId="0" fontId="30" fillId="0" borderId="74" xfId="0" applyFont="1" applyFill="1" applyBorder="1" applyAlignment="1">
      <alignment vertical="top" wrapText="1"/>
    </xf>
    <xf numFmtId="0" fontId="19" fillId="0" borderId="74" xfId="0" applyFont="1" applyFill="1" applyBorder="1" applyAlignment="1" applyProtection="1">
      <alignment vertical="top" wrapText="1"/>
      <protection locked="0"/>
    </xf>
    <xf numFmtId="0" fontId="19" fillId="0" borderId="8" xfId="0" applyFont="1" applyFill="1" applyBorder="1" applyAlignment="1">
      <alignment vertical="top" wrapText="1"/>
    </xf>
    <xf numFmtId="0" fontId="19" fillId="0" borderId="8" xfId="0" applyFont="1" applyFill="1" applyBorder="1" applyAlignment="1" applyProtection="1">
      <alignment vertical="top" wrapText="1"/>
      <protection locked="0" hidden="1"/>
    </xf>
    <xf numFmtId="0" fontId="19" fillId="0" borderId="74" xfId="0" applyFont="1" applyFill="1" applyBorder="1" applyAlignment="1" applyProtection="1">
      <alignment horizontal="left" vertical="top" wrapText="1"/>
      <protection locked="0" hidden="1"/>
    </xf>
    <xf numFmtId="173" fontId="30" fillId="0" borderId="58" xfId="0" applyNumberFormat="1" applyFont="1" applyFill="1" applyBorder="1" applyAlignment="1">
      <alignment vertical="top" wrapText="1"/>
    </xf>
    <xf numFmtId="0" fontId="30" fillId="0" borderId="60" xfId="0" applyFont="1" applyFill="1" applyBorder="1" applyAlignment="1">
      <alignment horizontal="left" vertical="top" wrapText="1"/>
    </xf>
    <xf numFmtId="0" fontId="31" fillId="0" borderId="60" xfId="0" applyFont="1" applyFill="1" applyBorder="1" applyAlignment="1">
      <alignment horizontal="left" vertical="top" wrapText="1"/>
    </xf>
    <xf numFmtId="0" fontId="32" fillId="0" borderId="60" xfId="0" applyFont="1" applyFill="1" applyBorder="1" applyAlignment="1">
      <alignment vertical="top" wrapText="1"/>
    </xf>
    <xf numFmtId="0" fontId="30" fillId="0" borderId="81" xfId="0" applyFont="1" applyFill="1" applyBorder="1" applyAlignment="1">
      <alignment horizontal="left" vertical="top" wrapText="1"/>
    </xf>
    <xf numFmtId="173" fontId="30" fillId="0" borderId="15" xfId="0" applyNumberFormat="1" applyFont="1" applyFill="1" applyBorder="1" applyAlignment="1">
      <alignment vertical="top" wrapText="1"/>
    </xf>
    <xf numFmtId="0" fontId="30" fillId="0" borderId="14" xfId="0" applyFont="1" applyFill="1" applyBorder="1" applyAlignment="1">
      <alignment horizontal="left" vertical="top" wrapText="1"/>
    </xf>
    <xf numFmtId="173" fontId="30" fillId="0" borderId="49" xfId="0" applyNumberFormat="1" applyFont="1" applyFill="1" applyBorder="1" applyAlignment="1">
      <alignment vertical="top" wrapText="1"/>
    </xf>
    <xf numFmtId="0" fontId="30" fillId="0" borderId="48" xfId="0" applyFont="1" applyFill="1" applyBorder="1" applyAlignment="1">
      <alignment horizontal="left" vertical="top" wrapText="1"/>
    </xf>
    <xf numFmtId="0" fontId="31" fillId="0" borderId="48" xfId="0" applyFont="1" applyFill="1" applyBorder="1" applyAlignment="1">
      <alignment horizontal="left" vertical="top" wrapText="1"/>
    </xf>
    <xf numFmtId="0" fontId="32" fillId="0" borderId="48" xfId="0" applyFont="1" applyFill="1" applyBorder="1" applyAlignment="1">
      <alignment vertical="top" wrapText="1"/>
    </xf>
    <xf numFmtId="0" fontId="30" fillId="0" borderId="47" xfId="0" applyFont="1" applyFill="1" applyBorder="1" applyAlignment="1">
      <alignment horizontal="left" vertical="top" wrapText="1"/>
    </xf>
    <xf numFmtId="173" fontId="30" fillId="0" borderId="18" xfId="0" applyNumberFormat="1" applyFont="1" applyFill="1" applyBorder="1" applyAlignment="1">
      <alignment vertical="top" wrapText="1"/>
    </xf>
    <xf numFmtId="0" fontId="30" fillId="0" borderId="16" xfId="0" applyFont="1" applyFill="1" applyBorder="1" applyAlignment="1">
      <alignment horizontal="left" vertical="top" wrapText="1"/>
    </xf>
    <xf numFmtId="173" fontId="30" fillId="0" borderId="75" xfId="0" applyNumberFormat="1" applyFont="1" applyFill="1" applyBorder="1" applyAlignment="1">
      <alignment vertical="top" wrapText="1"/>
    </xf>
    <xf numFmtId="0" fontId="30" fillId="0" borderId="76" xfId="0" applyFont="1" applyFill="1" applyBorder="1" applyAlignment="1">
      <alignment horizontal="left" vertical="top" wrapText="1"/>
    </xf>
    <xf numFmtId="0" fontId="30" fillId="0" borderId="60" xfId="0" applyFont="1" applyFill="1" applyBorder="1" applyAlignment="1">
      <alignment vertical="top" wrapText="1"/>
    </xf>
    <xf numFmtId="0" fontId="30" fillId="0" borderId="48" xfId="0" applyFont="1" applyFill="1" applyBorder="1" applyAlignment="1">
      <alignment vertical="top" wrapText="1"/>
    </xf>
    <xf numFmtId="173" fontId="30" fillId="0" borderId="0" xfId="0" applyNumberFormat="1" applyFont="1" applyFill="1" applyAlignment="1">
      <alignment vertical="top" wrapText="1"/>
    </xf>
    <xf numFmtId="0" fontId="19" fillId="0" borderId="60" xfId="0" applyFont="1" applyFill="1" applyBorder="1" applyAlignment="1" applyProtection="1">
      <alignment vertical="top" wrapText="1"/>
      <protection locked="0"/>
    </xf>
    <xf numFmtId="0" fontId="33" fillId="0" borderId="0" xfId="0" applyFont="1" applyAlignment="1">
      <alignment vertical="top" wrapText="1"/>
    </xf>
    <xf numFmtId="173" fontId="34" fillId="9" borderId="26" xfId="0" applyNumberFormat="1" applyFont="1" applyFill="1" applyBorder="1" applyAlignment="1">
      <alignment horizontal="center" vertical="center" wrapText="1"/>
    </xf>
    <xf numFmtId="0" fontId="34" fillId="9" borderId="25" xfId="0" applyFont="1" applyFill="1" applyBorder="1" applyAlignment="1">
      <alignment horizontal="center" vertical="center" wrapText="1"/>
    </xf>
    <xf numFmtId="0" fontId="34" fillId="9" borderId="24" xfId="0" applyFont="1" applyFill="1" applyBorder="1" applyAlignment="1">
      <alignment horizontal="center" vertical="center" wrapText="1"/>
    </xf>
    <xf numFmtId="0" fontId="33" fillId="0" borderId="0" xfId="0" applyFont="1" applyAlignment="1">
      <alignment horizontal="center" vertical="center" wrapText="1"/>
    </xf>
    <xf numFmtId="0" fontId="34" fillId="9" borderId="26" xfId="0" applyFont="1" applyFill="1" applyBorder="1" applyAlignment="1">
      <alignment horizontal="center" vertical="center" wrapText="1"/>
    </xf>
    <xf numFmtId="0" fontId="34" fillId="9" borderId="25" xfId="0" applyFont="1" applyFill="1" applyBorder="1" applyAlignment="1">
      <alignment horizontal="center" vertical="center" wrapText="1"/>
    </xf>
    <xf numFmtId="0" fontId="34" fillId="9" borderId="24" xfId="0" applyFont="1" applyFill="1" applyBorder="1" applyAlignment="1">
      <alignment horizontal="center" vertical="center" wrapText="1"/>
    </xf>
    <xf numFmtId="9" fontId="19" fillId="0" borderId="43" xfId="0" applyNumberFormat="1" applyFont="1" applyFill="1" applyBorder="1" applyAlignment="1">
      <alignment horizontal="center" vertical="top" wrapText="1"/>
    </xf>
    <xf numFmtId="9" fontId="19" fillId="0" borderId="0" xfId="9" applyFont="1" applyFill="1" applyBorder="1" applyAlignment="1">
      <alignment horizontal="center" vertical="top" wrapText="1"/>
    </xf>
    <xf numFmtId="3" fontId="20" fillId="0" borderId="8" xfId="0" applyNumberFormat="1" applyFont="1" applyFill="1" applyBorder="1" applyAlignment="1">
      <alignment horizontal="left" vertical="top" wrapText="1"/>
    </xf>
    <xf numFmtId="0" fontId="21" fillId="7" borderId="9" xfId="0" applyFont="1" applyFill="1" applyBorder="1" applyAlignment="1">
      <alignment horizontal="center" vertical="center" wrapText="1"/>
    </xf>
    <xf numFmtId="0" fontId="19" fillId="0" borderId="14" xfId="0" applyNumberFormat="1" applyFont="1" applyFill="1" applyBorder="1" applyAlignment="1">
      <alignment horizontal="center" vertical="top" wrapText="1"/>
    </xf>
    <xf numFmtId="0" fontId="19" fillId="0" borderId="16" xfId="0" applyNumberFormat="1" applyFont="1" applyFill="1" applyBorder="1" applyAlignment="1">
      <alignment horizontal="center" vertical="top" wrapText="1"/>
    </xf>
    <xf numFmtId="9" fontId="21" fillId="7" borderId="8" xfId="0" applyNumberFormat="1" applyFont="1" applyFill="1" applyBorder="1" applyAlignment="1">
      <alignment horizontal="center" vertical="center" wrapText="1"/>
    </xf>
    <xf numFmtId="0" fontId="21" fillId="0" borderId="8" xfId="0" applyNumberFormat="1" applyFont="1" applyFill="1" applyBorder="1" applyAlignment="1">
      <alignment horizontal="center" vertical="center" wrapText="1"/>
    </xf>
    <xf numFmtId="0" fontId="18" fillId="7" borderId="76" xfId="0" applyFont="1" applyFill="1" applyBorder="1" applyAlignment="1">
      <alignment horizontal="center" vertical="center" wrapText="1"/>
    </xf>
    <xf numFmtId="0" fontId="18" fillId="7" borderId="74" xfId="0" applyFont="1" applyFill="1" applyBorder="1" applyAlignment="1">
      <alignment horizontal="center" vertical="center" wrapText="1"/>
    </xf>
    <xf numFmtId="9" fontId="18" fillId="7" borderId="74" xfId="9" applyFont="1" applyFill="1" applyBorder="1" applyAlignment="1">
      <alignment horizontal="center" vertical="center" wrapText="1"/>
    </xf>
    <xf numFmtId="9" fontId="18" fillId="7" borderId="75" xfId="9" applyFont="1" applyFill="1" applyBorder="1" applyAlignment="1">
      <alignment horizontal="center" vertical="center" wrapText="1"/>
    </xf>
    <xf numFmtId="9" fontId="21" fillId="7" borderId="15" xfId="0" applyNumberFormat="1" applyFont="1" applyFill="1" applyBorder="1" applyAlignment="1">
      <alignment horizontal="center" vertical="center" wrapText="1"/>
    </xf>
    <xf numFmtId="0" fontId="21" fillId="0" borderId="17" xfId="0" applyNumberFormat="1" applyFont="1" applyFill="1" applyBorder="1" applyAlignment="1">
      <alignment horizontal="center" vertical="center" wrapText="1"/>
    </xf>
    <xf numFmtId="0" fontId="26" fillId="7" borderId="26" xfId="0" applyFont="1" applyFill="1" applyBorder="1" applyAlignment="1">
      <alignment horizontal="center" vertical="center" wrapText="1"/>
    </xf>
    <xf numFmtId="0" fontId="17" fillId="0" borderId="8" xfId="0" applyFont="1" applyBorder="1" applyAlignment="1">
      <alignment horizontal="left" vertical="top" wrapText="1"/>
    </xf>
    <xf numFmtId="0" fontId="27" fillId="0" borderId="8" xfId="0" applyFont="1" applyFill="1" applyBorder="1" applyAlignment="1">
      <alignment vertical="top" wrapText="1"/>
    </xf>
    <xf numFmtId="0" fontId="17" fillId="0" borderId="74" xfId="0" applyFont="1" applyBorder="1" applyAlignment="1">
      <alignment horizontal="left" vertical="top" wrapText="1"/>
    </xf>
    <xf numFmtId="0" fontId="27" fillId="0" borderId="17" xfId="0" applyFont="1" applyFill="1" applyBorder="1" applyAlignment="1">
      <alignment vertical="top" wrapText="1"/>
    </xf>
    <xf numFmtId="0" fontId="19" fillId="0" borderId="17" xfId="0" applyFont="1" applyBorder="1" applyAlignment="1">
      <alignment horizontal="center" vertical="top" wrapText="1"/>
    </xf>
    <xf numFmtId="0" fontId="18" fillId="0" borderId="74" xfId="0" applyNumberFormat="1" applyFont="1" applyFill="1" applyBorder="1" applyAlignment="1">
      <alignment horizontal="center" vertical="center" wrapText="1"/>
    </xf>
    <xf numFmtId="0" fontId="26" fillId="7" borderId="21"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7" fillId="7" borderId="22" xfId="0" applyFont="1" applyFill="1" applyBorder="1" applyAlignment="1">
      <alignment horizontal="center" vertical="center" wrapText="1"/>
    </xf>
    <xf numFmtId="0" fontId="26" fillId="7" borderId="20" xfId="0" applyFont="1" applyFill="1" applyBorder="1" applyAlignment="1">
      <alignment horizontal="center" vertical="center" wrapText="1"/>
    </xf>
    <xf numFmtId="0" fontId="17" fillId="0" borderId="0" xfId="0" applyFont="1" applyAlignment="1">
      <alignment horizontal="center" vertical="center" wrapText="1"/>
    </xf>
    <xf numFmtId="0" fontId="26" fillId="7" borderId="59" xfId="0" applyFont="1" applyFill="1" applyBorder="1" applyAlignment="1">
      <alignment horizontal="center" vertical="center" wrapText="1"/>
    </xf>
    <xf numFmtId="0" fontId="26" fillId="7" borderId="50" xfId="0" applyFont="1" applyFill="1" applyBorder="1" applyAlignment="1">
      <alignment horizontal="center" vertical="center" wrapText="1"/>
    </xf>
    <xf numFmtId="0" fontId="35" fillId="7" borderId="4" xfId="0" applyFont="1" applyFill="1" applyBorder="1" applyAlignment="1">
      <alignment horizontal="center" vertical="center" wrapText="1"/>
    </xf>
    <xf numFmtId="0" fontId="35" fillId="7" borderId="10" xfId="0" applyFont="1" applyFill="1" applyBorder="1" applyAlignment="1">
      <alignment horizontal="center" vertical="center" wrapText="1"/>
    </xf>
    <xf numFmtId="0" fontId="26" fillId="7" borderId="24"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26" fillId="7" borderId="25" xfId="0" applyFont="1" applyFill="1" applyBorder="1" applyAlignment="1">
      <alignment horizontal="center" vertical="center" wrapText="1"/>
    </xf>
    <xf numFmtId="9" fontId="26" fillId="7" borderId="25" xfId="9" applyFont="1" applyFill="1" applyBorder="1" applyAlignment="1">
      <alignment horizontal="center" vertical="center" wrapText="1"/>
    </xf>
    <xf numFmtId="9" fontId="26" fillId="7" borderId="26" xfId="9" applyFont="1" applyFill="1" applyBorder="1" applyAlignment="1">
      <alignment horizontal="center" vertical="center" wrapText="1"/>
    </xf>
    <xf numFmtId="0" fontId="26" fillId="7" borderId="24" xfId="0" applyNumberFormat="1" applyFont="1" applyFill="1" applyBorder="1" applyAlignment="1">
      <alignment horizontal="center" vertical="center" wrapText="1"/>
    </xf>
    <xf numFmtId="0" fontId="26" fillId="7" borderId="25" xfId="0" applyNumberFormat="1" applyFont="1" applyFill="1" applyBorder="1" applyAlignment="1">
      <alignment horizontal="center" vertical="center" wrapText="1"/>
    </xf>
    <xf numFmtId="0" fontId="26" fillId="7" borderId="27" xfId="0" applyFont="1" applyFill="1" applyBorder="1" applyAlignment="1">
      <alignment horizontal="center" vertical="center" wrapText="1"/>
    </xf>
    <xf numFmtId="0" fontId="17" fillId="0" borderId="0" xfId="0" applyFont="1" applyBorder="1" applyAlignment="1">
      <alignment horizontal="center" vertical="center" wrapText="1"/>
    </xf>
    <xf numFmtId="0" fontId="17" fillId="0" borderId="76" xfId="0" applyFont="1" applyBorder="1" applyAlignment="1">
      <alignment horizontal="center" vertical="center" wrapText="1"/>
    </xf>
    <xf numFmtId="0" fontId="27" fillId="3" borderId="74" xfId="0" applyFont="1" applyFill="1" applyBorder="1" applyAlignment="1">
      <alignment horizontal="left" vertical="top" wrapText="1"/>
    </xf>
    <xf numFmtId="0" fontId="17" fillId="0" borderId="74" xfId="0" applyFont="1" applyBorder="1" applyAlignment="1">
      <alignment horizontal="center" vertical="top" wrapText="1"/>
    </xf>
    <xf numFmtId="0" fontId="17" fillId="0" borderId="74" xfId="0" applyFont="1" applyBorder="1" applyAlignment="1">
      <alignment horizontal="left" vertical="top" wrapText="1"/>
    </xf>
    <xf numFmtId="9" fontId="17" fillId="0" borderId="74" xfId="9" applyFont="1" applyBorder="1" applyAlignment="1">
      <alignment horizontal="left" vertical="top" wrapText="1"/>
    </xf>
    <xf numFmtId="9" fontId="17" fillId="0" borderId="74" xfId="9" applyFont="1" applyFill="1" applyBorder="1" applyAlignment="1">
      <alignment horizontal="left" vertical="top" wrapText="1"/>
    </xf>
    <xf numFmtId="9" fontId="17" fillId="0" borderId="74" xfId="0" applyNumberFormat="1" applyFont="1" applyBorder="1" applyAlignment="1">
      <alignment horizontal="center" vertical="top" wrapText="1"/>
    </xf>
    <xf numFmtId="9" fontId="17" fillId="0" borderId="74" xfId="9" applyFont="1" applyFill="1" applyBorder="1" applyAlignment="1">
      <alignment horizontal="center" vertical="top" wrapText="1"/>
    </xf>
    <xf numFmtId="0" fontId="27" fillId="0" borderId="74" xfId="0" applyFont="1" applyFill="1" applyBorder="1" applyAlignment="1">
      <alignment horizontal="center" vertical="top" wrapText="1"/>
    </xf>
    <xf numFmtId="168" fontId="17" fillId="0" borderId="74" xfId="0" applyNumberFormat="1" applyFont="1" applyFill="1" applyBorder="1" applyAlignment="1">
      <alignment horizontal="center" vertical="top" wrapText="1"/>
    </xf>
    <xf numFmtId="1" fontId="27" fillId="0" borderId="74" xfId="0" applyNumberFormat="1" applyFont="1" applyFill="1" applyBorder="1" applyAlignment="1">
      <alignment horizontal="center" vertical="top" wrapText="1"/>
    </xf>
    <xf numFmtId="9" fontId="26" fillId="0" borderId="74" xfId="9" applyFont="1" applyFill="1" applyBorder="1" applyAlignment="1">
      <alignment horizontal="center" vertical="top" wrapText="1"/>
    </xf>
    <xf numFmtId="0" fontId="17" fillId="0" borderId="74" xfId="0" applyNumberFormat="1" applyFont="1" applyFill="1" applyBorder="1" applyAlignment="1">
      <alignment horizontal="center" vertical="top" wrapText="1"/>
    </xf>
    <xf numFmtId="9" fontId="17" fillId="0" borderId="77" xfId="0" applyNumberFormat="1" applyFont="1" applyFill="1" applyBorder="1" applyAlignment="1">
      <alignment horizontal="center" vertical="top" wrapText="1"/>
    </xf>
    <xf numFmtId="9" fontId="26" fillId="0" borderId="74" xfId="0" applyNumberFormat="1" applyFont="1" applyFill="1" applyBorder="1" applyAlignment="1">
      <alignment horizontal="center" vertical="center" wrapText="1"/>
    </xf>
    <xf numFmtId="0" fontId="26" fillId="0" borderId="74" xfId="0" applyNumberFormat="1" applyFont="1" applyFill="1" applyBorder="1" applyAlignment="1">
      <alignment horizontal="center" vertical="center" wrapText="1"/>
    </xf>
    <xf numFmtId="9" fontId="26" fillId="0" borderId="75" xfId="0" applyNumberFormat="1" applyFont="1" applyFill="1" applyBorder="1" applyAlignment="1">
      <alignment horizontal="center" vertical="center" wrapText="1"/>
    </xf>
    <xf numFmtId="10" fontId="17" fillId="0" borderId="0" xfId="0" applyNumberFormat="1" applyFont="1" applyBorder="1" applyAlignment="1">
      <alignment horizontal="left" vertical="top" wrapText="1"/>
    </xf>
    <xf numFmtId="0" fontId="17" fillId="0" borderId="14" xfId="0" applyFont="1" applyBorder="1" applyAlignment="1">
      <alignment horizontal="center" vertical="center" wrapText="1"/>
    </xf>
    <xf numFmtId="0" fontId="27" fillId="3" borderId="8" xfId="0" applyFont="1" applyFill="1" applyBorder="1" applyAlignment="1">
      <alignment horizontal="left" vertical="top" wrapText="1"/>
    </xf>
    <xf numFmtId="0" fontId="17" fillId="0" borderId="8" xfId="0" applyFont="1" applyBorder="1" applyAlignment="1">
      <alignment horizontal="center" vertical="top" wrapText="1"/>
    </xf>
    <xf numFmtId="0" fontId="17" fillId="0" borderId="8" xfId="0" applyFont="1" applyBorder="1" applyAlignment="1">
      <alignment horizontal="left" vertical="top" wrapText="1"/>
    </xf>
    <xf numFmtId="9" fontId="17" fillId="0" borderId="8" xfId="9" applyFont="1" applyBorder="1" applyAlignment="1">
      <alignment horizontal="left" vertical="top" wrapText="1"/>
    </xf>
    <xf numFmtId="9" fontId="17" fillId="0" borderId="8" xfId="9" applyFont="1" applyFill="1" applyBorder="1" applyAlignment="1">
      <alignment horizontal="left" vertical="top" wrapText="1"/>
    </xf>
    <xf numFmtId="9" fontId="17" fillId="0" borderId="8" xfId="0" applyNumberFormat="1" applyFont="1" applyBorder="1" applyAlignment="1">
      <alignment horizontal="center" vertical="top" wrapText="1"/>
    </xf>
    <xf numFmtId="9" fontId="17" fillId="0" borderId="8" xfId="9" applyFont="1" applyFill="1" applyBorder="1" applyAlignment="1">
      <alignment horizontal="center" vertical="top" wrapText="1"/>
    </xf>
    <xf numFmtId="0" fontId="27" fillId="0" borderId="8" xfId="0" applyFont="1" applyFill="1" applyBorder="1" applyAlignment="1">
      <alignment horizontal="center" vertical="top" wrapText="1"/>
    </xf>
    <xf numFmtId="168" fontId="17" fillId="0" borderId="8" xfId="0" applyNumberFormat="1" applyFont="1" applyFill="1" applyBorder="1" applyAlignment="1">
      <alignment horizontal="center" vertical="top" wrapText="1"/>
    </xf>
    <xf numFmtId="1" fontId="27" fillId="0" borderId="8" xfId="0" applyNumberFormat="1" applyFont="1" applyFill="1" applyBorder="1" applyAlignment="1">
      <alignment horizontal="center" vertical="top" wrapText="1"/>
    </xf>
    <xf numFmtId="9" fontId="26" fillId="0" borderId="8" xfId="9" applyFont="1" applyFill="1" applyBorder="1" applyAlignment="1">
      <alignment horizontal="center" vertical="top" wrapText="1"/>
    </xf>
    <xf numFmtId="0" fontId="17" fillId="0" borderId="8" xfId="0" applyNumberFormat="1" applyFont="1" applyFill="1" applyBorder="1" applyAlignment="1">
      <alignment horizontal="center" vertical="top" wrapText="1"/>
    </xf>
    <xf numFmtId="9" fontId="17" fillId="0" borderId="42" xfId="0" applyNumberFormat="1" applyFont="1" applyFill="1" applyBorder="1" applyAlignment="1">
      <alignment horizontal="center" vertical="top" wrapText="1"/>
    </xf>
    <xf numFmtId="9" fontId="26" fillId="0" borderId="8" xfId="0" applyNumberFormat="1" applyFont="1" applyFill="1" applyBorder="1" applyAlignment="1">
      <alignment horizontal="center" vertical="center" wrapText="1"/>
    </xf>
    <xf numFmtId="9" fontId="26" fillId="0" borderId="15" xfId="0" applyNumberFormat="1" applyFont="1" applyFill="1" applyBorder="1" applyAlignment="1">
      <alignment horizontal="center" vertical="center" wrapText="1"/>
    </xf>
    <xf numFmtId="0" fontId="17" fillId="0" borderId="8" xfId="0" applyFont="1" applyFill="1" applyBorder="1" applyAlignment="1">
      <alignment horizontal="center" vertical="top" wrapText="1"/>
    </xf>
    <xf numFmtId="9" fontId="26" fillId="0" borderId="8" xfId="0" applyNumberFormat="1" applyFont="1" applyFill="1" applyBorder="1" applyAlignment="1">
      <alignment horizontal="center" vertical="top" wrapText="1"/>
    </xf>
    <xf numFmtId="0" fontId="26" fillId="0" borderId="8" xfId="0" applyFont="1" applyFill="1" applyBorder="1" applyAlignment="1">
      <alignment horizontal="center" vertical="top" wrapText="1"/>
    </xf>
    <xf numFmtId="1" fontId="17" fillId="0" borderId="0" xfId="0" applyNumberFormat="1" applyFont="1" applyFill="1" applyAlignment="1">
      <alignment horizontal="left" vertical="top" wrapText="1"/>
    </xf>
    <xf numFmtId="0" fontId="17" fillId="0" borderId="16" xfId="0" applyFont="1" applyBorder="1" applyAlignment="1">
      <alignment horizontal="center" vertical="center" wrapText="1"/>
    </xf>
    <xf numFmtId="0" fontId="27" fillId="3" borderId="17" xfId="0" applyFont="1" applyFill="1" applyBorder="1" applyAlignment="1">
      <alignment horizontal="left" vertical="top" wrapText="1"/>
    </xf>
    <xf numFmtId="0" fontId="17" fillId="0" borderId="17" xfId="0" applyFont="1" applyBorder="1" applyAlignment="1">
      <alignment horizontal="center" vertical="top" wrapText="1"/>
    </xf>
    <xf numFmtId="2" fontId="17" fillId="0" borderId="17" xfId="0" applyNumberFormat="1" applyFont="1" applyBorder="1" applyAlignment="1">
      <alignment horizontal="left" vertical="top" wrapText="1"/>
    </xf>
    <xf numFmtId="0" fontId="17" fillId="0" borderId="17" xfId="0" applyFont="1" applyBorder="1" applyAlignment="1">
      <alignment horizontal="left" vertical="top" wrapText="1"/>
    </xf>
    <xf numFmtId="9" fontId="17" fillId="0" borderId="17" xfId="9" applyFont="1" applyBorder="1" applyAlignment="1">
      <alignment horizontal="left" vertical="top" wrapText="1"/>
    </xf>
    <xf numFmtId="0" fontId="17" fillId="0" borderId="17" xfId="0" applyFont="1" applyBorder="1" applyAlignment="1">
      <alignment horizontal="right" vertical="top" wrapText="1"/>
    </xf>
    <xf numFmtId="169" fontId="17" fillId="0" borderId="17" xfId="0" applyNumberFormat="1" applyFont="1" applyBorder="1" applyAlignment="1">
      <alignment horizontal="left" vertical="top" wrapText="1"/>
    </xf>
    <xf numFmtId="0" fontId="17" fillId="0" borderId="17" xfId="0" applyNumberFormat="1" applyFont="1" applyBorder="1" applyAlignment="1">
      <alignment horizontal="left" vertical="top" wrapText="1"/>
    </xf>
    <xf numFmtId="0" fontId="17" fillId="0" borderId="44" xfId="0" applyFont="1" applyBorder="1" applyAlignment="1">
      <alignment horizontal="left" vertical="top" wrapText="1"/>
    </xf>
    <xf numFmtId="0" fontId="17" fillId="0" borderId="16" xfId="0" applyFont="1" applyBorder="1" applyAlignment="1">
      <alignment horizontal="center" vertical="top" wrapText="1"/>
    </xf>
    <xf numFmtId="2" fontId="26" fillId="0" borderId="17" xfId="0" applyNumberFormat="1" applyFont="1" applyBorder="1" applyAlignment="1">
      <alignment horizontal="left" vertical="top" wrapText="1"/>
    </xf>
    <xf numFmtId="0" fontId="26" fillId="0" borderId="17" xfId="0" applyNumberFormat="1" applyFont="1" applyBorder="1" applyAlignment="1">
      <alignment horizontal="left" vertical="top" wrapText="1"/>
    </xf>
    <xf numFmtId="0" fontId="26" fillId="0" borderId="18" xfId="0" applyFont="1" applyBorder="1" applyAlignment="1">
      <alignment horizontal="left" vertical="top" wrapText="1"/>
    </xf>
    <xf numFmtId="0" fontId="17" fillId="0" borderId="0" xfId="0" applyFont="1" applyAlignment="1">
      <alignment horizontal="center" vertical="top" wrapText="1"/>
    </xf>
    <xf numFmtId="9" fontId="17" fillId="0" borderId="0" xfId="9" applyFont="1" applyAlignment="1">
      <alignment horizontal="left" vertical="top" wrapText="1"/>
    </xf>
    <xf numFmtId="0" fontId="17" fillId="0" borderId="0" xfId="0" applyFont="1" applyAlignment="1">
      <alignment horizontal="right" vertical="top" wrapText="1"/>
    </xf>
    <xf numFmtId="0" fontId="17" fillId="0" borderId="0" xfId="0" applyNumberFormat="1" applyFont="1" applyAlignment="1">
      <alignment horizontal="left" vertical="top" wrapText="1"/>
    </xf>
    <xf numFmtId="0" fontId="26" fillId="0" borderId="0" xfId="0" applyFont="1" applyAlignment="1">
      <alignment horizontal="left" vertical="top" wrapText="1"/>
    </xf>
    <xf numFmtId="0" fontId="18" fillId="7" borderId="8" xfId="0" applyFont="1" applyFill="1" applyBorder="1" applyAlignment="1">
      <alignment horizontal="center" vertical="center" wrapText="1"/>
    </xf>
    <xf numFmtId="0" fontId="17" fillId="0" borderId="8" xfId="0" applyNumberFormat="1" applyFont="1" applyFill="1" applyBorder="1" applyAlignment="1">
      <alignment horizontal="center" vertical="center" wrapText="1"/>
    </xf>
    <xf numFmtId="0" fontId="26" fillId="0" borderId="8" xfId="0" applyNumberFormat="1" applyFont="1" applyFill="1" applyBorder="1" applyAlignment="1">
      <alignment horizontal="center" vertical="center" wrapText="1"/>
    </xf>
    <xf numFmtId="0" fontId="19" fillId="7" borderId="74" xfId="0" applyFont="1" applyFill="1" applyBorder="1" applyAlignment="1">
      <alignment horizontal="center" vertical="center" wrapText="1"/>
    </xf>
    <xf numFmtId="0" fontId="18" fillId="7" borderId="74" xfId="0" applyFont="1" applyFill="1" applyBorder="1" applyAlignment="1">
      <alignment horizontal="center" vertical="center" wrapText="1"/>
    </xf>
    <xf numFmtId="9" fontId="19" fillId="0" borderId="17" xfId="9" applyFont="1" applyFill="1" applyBorder="1" applyAlignment="1">
      <alignment horizontal="left" vertical="top" wrapText="1"/>
    </xf>
    <xf numFmtId="9" fontId="19" fillId="0" borderId="17" xfId="0" applyNumberFormat="1" applyFont="1" applyFill="1" applyBorder="1" applyAlignment="1">
      <alignment horizontal="center" vertical="top" wrapText="1"/>
    </xf>
    <xf numFmtId="0" fontId="17" fillId="0" borderId="17" xfId="0" applyNumberFormat="1" applyFont="1" applyFill="1" applyBorder="1" applyAlignment="1">
      <alignment horizontal="center" vertical="center" wrapText="1"/>
    </xf>
    <xf numFmtId="9" fontId="26" fillId="0" borderId="17" xfId="0" applyNumberFormat="1" applyFont="1" applyFill="1" applyBorder="1" applyAlignment="1">
      <alignment horizontal="center" vertical="center" wrapText="1"/>
    </xf>
    <xf numFmtId="0" fontId="26" fillId="0" borderId="17" xfId="0" applyNumberFormat="1" applyFont="1" applyFill="1" applyBorder="1" applyAlignment="1">
      <alignment horizontal="center" vertical="center" wrapText="1"/>
    </xf>
    <xf numFmtId="9" fontId="26" fillId="0" borderId="18" xfId="0" applyNumberFormat="1" applyFont="1" applyFill="1" applyBorder="1" applyAlignment="1">
      <alignment horizontal="center" vertical="center" wrapText="1"/>
    </xf>
    <xf numFmtId="0" fontId="18" fillId="7" borderId="82" xfId="0" applyFont="1" applyFill="1" applyBorder="1" applyAlignment="1">
      <alignment horizontal="center" vertical="center" wrapText="1"/>
    </xf>
    <xf numFmtId="0" fontId="18" fillId="7" borderId="83" xfId="0" applyFont="1" applyFill="1" applyBorder="1" applyAlignment="1">
      <alignment horizontal="center" vertical="center" wrapText="1"/>
    </xf>
    <xf numFmtId="0" fontId="19" fillId="0" borderId="84" xfId="0" applyFont="1" applyFill="1" applyBorder="1" applyAlignment="1">
      <alignment horizontal="center" vertical="top" wrapText="1"/>
    </xf>
    <xf numFmtId="0" fontId="19" fillId="0" borderId="85" xfId="0" applyFont="1" applyFill="1" applyBorder="1" applyAlignment="1">
      <alignment horizontal="center" vertical="top" wrapText="1"/>
    </xf>
    <xf numFmtId="9" fontId="19" fillId="0" borderId="48" xfId="9" applyFont="1" applyFill="1" applyBorder="1" applyAlignment="1">
      <alignment horizontal="left" vertical="top" wrapText="1"/>
    </xf>
    <xf numFmtId="9" fontId="19" fillId="0" borderId="48" xfId="0" applyNumberFormat="1" applyFont="1" applyFill="1" applyBorder="1" applyAlignment="1">
      <alignment horizontal="center" vertical="top" wrapText="1"/>
    </xf>
    <xf numFmtId="0" fontId="17" fillId="0" borderId="48" xfId="0" applyNumberFormat="1" applyFont="1" applyFill="1" applyBorder="1" applyAlignment="1">
      <alignment horizontal="center" vertical="center" wrapText="1"/>
    </xf>
    <xf numFmtId="9" fontId="26" fillId="0" borderId="48" xfId="0" applyNumberFormat="1" applyFont="1" applyFill="1" applyBorder="1" applyAlignment="1">
      <alignment horizontal="center" vertical="center" wrapText="1"/>
    </xf>
    <xf numFmtId="0" fontId="26" fillId="0" borderId="48" xfId="0" applyNumberFormat="1" applyFont="1" applyFill="1" applyBorder="1" applyAlignment="1">
      <alignment horizontal="center" vertical="center" wrapText="1"/>
    </xf>
    <xf numFmtId="9" fontId="26" fillId="0" borderId="49" xfId="0" applyNumberFormat="1" applyFont="1" applyFill="1" applyBorder="1" applyAlignment="1">
      <alignment horizontal="center" vertical="center" wrapText="1"/>
    </xf>
    <xf numFmtId="0" fontId="18" fillId="7" borderId="84" xfId="0" applyFont="1" applyFill="1" applyBorder="1" applyAlignment="1">
      <alignment horizontal="center" vertical="center" wrapText="1"/>
    </xf>
    <xf numFmtId="0" fontId="18" fillId="7" borderId="17" xfId="0" applyFont="1" applyFill="1" applyBorder="1" applyAlignment="1">
      <alignment horizontal="center" vertical="center" wrapText="1"/>
    </xf>
    <xf numFmtId="9" fontId="18" fillId="7" borderId="17" xfId="9" applyFont="1" applyFill="1" applyBorder="1" applyAlignment="1">
      <alignment horizontal="center" vertical="center" wrapText="1"/>
    </xf>
    <xf numFmtId="0" fontId="18" fillId="7" borderId="17" xfId="0" applyFont="1" applyFill="1" applyBorder="1" applyAlignment="1">
      <alignment horizontal="center" vertical="center" wrapText="1"/>
    </xf>
    <xf numFmtId="0" fontId="18" fillId="7" borderId="17" xfId="0" applyNumberFormat="1" applyFont="1" applyFill="1" applyBorder="1" applyAlignment="1">
      <alignment horizontal="center" vertical="center" wrapText="1"/>
    </xf>
    <xf numFmtId="0" fontId="24" fillId="0" borderId="49" xfId="0" applyFont="1" applyFill="1" applyBorder="1" applyAlignment="1">
      <alignment horizontal="left" vertical="top" wrapText="1"/>
    </xf>
    <xf numFmtId="0" fontId="24" fillId="0" borderId="18" xfId="0" applyFont="1" applyFill="1" applyBorder="1" applyAlignment="1">
      <alignment horizontal="left" vertical="top" wrapText="1"/>
    </xf>
    <xf numFmtId="0" fontId="24" fillId="7" borderId="76" xfId="0" applyFont="1" applyFill="1" applyBorder="1" applyAlignment="1">
      <alignment horizontal="left" vertical="center" wrapText="1"/>
    </xf>
    <xf numFmtId="0" fontId="24" fillId="7" borderId="74" xfId="0" applyFont="1" applyFill="1" applyBorder="1" applyAlignment="1">
      <alignment horizontal="left" vertical="center" wrapText="1"/>
    </xf>
    <xf numFmtId="0" fontId="24" fillId="7" borderId="75" xfId="0" applyFont="1" applyFill="1" applyBorder="1" applyAlignment="1">
      <alignment horizontal="left" vertical="center" wrapText="1"/>
    </xf>
    <xf numFmtId="0" fontId="18" fillId="7" borderId="42" xfId="0" applyFont="1" applyFill="1" applyBorder="1" applyAlignment="1">
      <alignment horizontal="center" vertical="center" wrapText="1"/>
    </xf>
    <xf numFmtId="0" fontId="26" fillId="7" borderId="78" xfId="0" applyFont="1" applyFill="1" applyBorder="1" applyAlignment="1">
      <alignment horizontal="center" vertical="center" wrapText="1"/>
    </xf>
    <xf numFmtId="9" fontId="26" fillId="7" borderId="78" xfId="9" applyFont="1" applyFill="1" applyBorder="1" applyAlignment="1">
      <alignment horizontal="center" vertical="center" wrapText="1"/>
    </xf>
    <xf numFmtId="0" fontId="35" fillId="7" borderId="51" xfId="0" applyFont="1" applyFill="1" applyBorder="1" applyAlignment="1">
      <alignment horizontal="center" vertical="center" wrapText="1"/>
    </xf>
    <xf numFmtId="0" fontId="35" fillId="7" borderId="52" xfId="0" applyFont="1" applyFill="1" applyBorder="1" applyAlignment="1">
      <alignment horizontal="center" vertical="center" wrapText="1"/>
    </xf>
    <xf numFmtId="0" fontId="35" fillId="7" borderId="53" xfId="0" applyFont="1" applyFill="1" applyBorder="1" applyAlignment="1">
      <alignment horizontal="center" vertical="center" wrapText="1"/>
    </xf>
    <xf numFmtId="0" fontId="18" fillId="7" borderId="77" xfId="0" applyFont="1" applyFill="1" applyBorder="1" applyAlignment="1">
      <alignment horizontal="center" vertical="center" wrapText="1"/>
    </xf>
    <xf numFmtId="0" fontId="35" fillId="7" borderId="61" xfId="0" applyFont="1" applyFill="1" applyBorder="1" applyAlignment="1">
      <alignment horizontal="center" vertical="center" wrapText="1"/>
    </xf>
    <xf numFmtId="0" fontId="35" fillId="7" borderId="78" xfId="0" applyFont="1" applyFill="1" applyBorder="1" applyAlignment="1">
      <alignment horizontal="center" vertical="center" wrapText="1"/>
    </xf>
    <xf numFmtId="0" fontId="35" fillId="7" borderId="79" xfId="0" applyFont="1" applyFill="1" applyBorder="1" applyAlignment="1">
      <alignment horizontal="center" vertical="center" wrapText="1"/>
    </xf>
    <xf numFmtId="0" fontId="26" fillId="7" borderId="51" xfId="0" applyFont="1" applyFill="1" applyBorder="1" applyAlignment="1">
      <alignment horizontal="center" vertical="center" wrapText="1"/>
    </xf>
    <xf numFmtId="0" fontId="26" fillId="7" borderId="52" xfId="0" applyFont="1" applyFill="1" applyBorder="1" applyAlignment="1">
      <alignment horizontal="center" vertical="center" wrapText="1"/>
    </xf>
    <xf numFmtId="0" fontId="26" fillId="7" borderId="53" xfId="0" applyFont="1" applyFill="1" applyBorder="1" applyAlignment="1">
      <alignment horizontal="center" vertical="center" wrapText="1"/>
    </xf>
    <xf numFmtId="0" fontId="18" fillId="7" borderId="61" xfId="0" applyFont="1" applyFill="1" applyBorder="1" applyAlignment="1">
      <alignment horizontal="center" vertical="center" wrapText="1"/>
    </xf>
    <xf numFmtId="0" fontId="22" fillId="7" borderId="78" xfId="0" applyFont="1" applyFill="1" applyBorder="1" applyAlignment="1">
      <alignment horizontal="center" vertical="center" wrapText="1"/>
    </xf>
    <xf numFmtId="0" fontId="18" fillId="7" borderId="79" xfId="0" applyFont="1" applyFill="1" applyBorder="1" applyAlignment="1">
      <alignment horizontal="center" vertical="center" wrapText="1"/>
    </xf>
    <xf numFmtId="0" fontId="24" fillId="7" borderId="16" xfId="0" applyFont="1" applyFill="1" applyBorder="1" applyAlignment="1">
      <alignment horizontal="left" vertical="center" wrapText="1"/>
    </xf>
    <xf numFmtId="0" fontId="24" fillId="7" borderId="17" xfId="0" applyFont="1" applyFill="1" applyBorder="1" applyAlignment="1">
      <alignment horizontal="left" vertical="center" wrapText="1"/>
    </xf>
    <xf numFmtId="0" fontId="24" fillId="7" borderId="18" xfId="0" applyFont="1" applyFill="1" applyBorder="1" applyAlignment="1">
      <alignment horizontal="left" vertical="center" wrapText="1"/>
    </xf>
    <xf numFmtId="9" fontId="26" fillId="7" borderId="79" xfId="9" applyFont="1" applyFill="1" applyBorder="1" applyAlignment="1">
      <alignment horizontal="center" vertical="center" wrapText="1"/>
    </xf>
    <xf numFmtId="0" fontId="35" fillId="7" borderId="86" xfId="0" applyFont="1" applyFill="1" applyBorder="1" applyAlignment="1">
      <alignment horizontal="center" vertical="center" wrapText="1"/>
    </xf>
    <xf numFmtId="0" fontId="17" fillId="0" borderId="51" xfId="0" applyNumberFormat="1" applyFont="1" applyFill="1" applyBorder="1" applyAlignment="1">
      <alignment horizontal="center" vertical="center" wrapText="1"/>
    </xf>
    <xf numFmtId="0" fontId="17" fillId="0" borderId="52" xfId="0" applyNumberFormat="1" applyFont="1" applyFill="1" applyBorder="1" applyAlignment="1">
      <alignment horizontal="center" vertical="center" wrapText="1"/>
    </xf>
    <xf numFmtId="9" fontId="26" fillId="0" borderId="52" xfId="0" applyNumberFormat="1" applyFont="1" applyFill="1" applyBorder="1" applyAlignment="1">
      <alignment horizontal="center" vertical="center" wrapText="1"/>
    </xf>
    <xf numFmtId="0" fontId="26" fillId="0" borderId="52" xfId="0" applyNumberFormat="1" applyFont="1" applyFill="1" applyBorder="1" applyAlignment="1">
      <alignment horizontal="center" vertical="center" wrapText="1"/>
    </xf>
    <xf numFmtId="9" fontId="26" fillId="0" borderId="53" xfId="0" applyNumberFormat="1" applyFont="1" applyFill="1" applyBorder="1" applyAlignment="1">
      <alignment horizontal="center" vertical="center" wrapText="1"/>
    </xf>
    <xf numFmtId="0" fontId="24" fillId="0" borderId="37" xfId="0" applyFont="1" applyBorder="1" applyAlignment="1">
      <alignment horizontal="center" vertical="center" wrapText="1"/>
    </xf>
    <xf numFmtId="0" fontId="25" fillId="3" borderId="78" xfId="0" applyFont="1" applyFill="1" applyBorder="1" applyAlignment="1">
      <alignment horizontal="left" vertical="center" wrapText="1"/>
    </xf>
    <xf numFmtId="9" fontId="17" fillId="0" borderId="76" xfId="0" applyNumberFormat="1" applyFont="1" applyFill="1" applyBorder="1" applyAlignment="1">
      <alignment horizontal="center" vertical="center" wrapText="1"/>
    </xf>
    <xf numFmtId="2" fontId="17" fillId="0" borderId="74" xfId="0" applyNumberFormat="1" applyFont="1" applyFill="1" applyBorder="1" applyAlignment="1">
      <alignment horizontal="center" vertical="center" wrapText="1"/>
    </xf>
    <xf numFmtId="9" fontId="17" fillId="0" borderId="14" xfId="0" applyNumberFormat="1" applyFont="1" applyFill="1" applyBorder="1" applyAlignment="1">
      <alignment horizontal="center" vertical="center" wrapText="1"/>
    </xf>
    <xf numFmtId="9" fontId="17" fillId="0" borderId="8" xfId="0" applyNumberFormat="1" applyFont="1" applyFill="1" applyBorder="1" applyAlignment="1">
      <alignment horizontal="center" vertical="center" wrapText="1"/>
    </xf>
    <xf numFmtId="9" fontId="26" fillId="0" borderId="8" xfId="9" applyFont="1" applyFill="1" applyBorder="1" applyAlignment="1">
      <alignment horizontal="center" vertical="center" wrapText="1"/>
    </xf>
    <xf numFmtId="0" fontId="17" fillId="0" borderId="14" xfId="0" applyNumberFormat="1" applyFont="1" applyFill="1" applyBorder="1" applyAlignment="1">
      <alignment horizontal="center" vertical="center" wrapText="1"/>
    </xf>
    <xf numFmtId="0" fontId="19" fillId="0" borderId="37" xfId="0" applyNumberFormat="1" applyFont="1" applyFill="1" applyBorder="1" applyAlignment="1">
      <alignment horizontal="center" vertical="center" wrapText="1"/>
    </xf>
    <xf numFmtId="0" fontId="19" fillId="0" borderId="35" xfId="0" applyNumberFormat="1" applyFont="1" applyFill="1" applyBorder="1" applyAlignment="1">
      <alignment horizontal="center" vertical="center" wrapText="1"/>
    </xf>
    <xf numFmtId="0" fontId="18" fillId="0" borderId="87" xfId="9" applyNumberFormat="1" applyFont="1" applyFill="1" applyBorder="1" applyAlignment="1">
      <alignment horizontal="center" vertical="center" wrapText="1"/>
    </xf>
    <xf numFmtId="0" fontId="18" fillId="0" borderId="66" xfId="9" applyNumberFormat="1" applyFont="1" applyFill="1" applyBorder="1" applyAlignment="1">
      <alignment vertical="center" wrapText="1"/>
    </xf>
    <xf numFmtId="0" fontId="18" fillId="0" borderId="71" xfId="0" applyNumberFormat="1" applyFont="1" applyFill="1" applyBorder="1" applyAlignment="1">
      <alignment vertical="center" wrapText="1"/>
    </xf>
    <xf numFmtId="0" fontId="19" fillId="0" borderId="19" xfId="0" applyFont="1" applyBorder="1" applyAlignment="1">
      <alignment vertical="center" wrapText="1"/>
    </xf>
    <xf numFmtId="0" fontId="19" fillId="0" borderId="57" xfId="0" applyFont="1" applyBorder="1" applyAlignment="1">
      <alignment vertical="center" wrapText="1"/>
    </xf>
    <xf numFmtId="0" fontId="17" fillId="0" borderId="9" xfId="0" applyNumberFormat="1" applyFont="1" applyFill="1" applyBorder="1" applyAlignment="1">
      <alignment horizontal="center" vertical="center" wrapText="1"/>
    </xf>
    <xf numFmtId="0" fontId="17" fillId="0" borderId="4" xfId="0" applyNumberFormat="1" applyFont="1" applyFill="1" applyBorder="1" applyAlignment="1">
      <alignment horizontal="center" vertical="center" wrapText="1"/>
    </xf>
    <xf numFmtId="0" fontId="26" fillId="0" borderId="88" xfId="9" applyNumberFormat="1" applyFont="1" applyFill="1" applyBorder="1" applyAlignment="1">
      <alignment horizontal="center" vertical="center" wrapText="1"/>
    </xf>
    <xf numFmtId="9" fontId="26" fillId="0" borderId="31" xfId="9" applyFont="1" applyFill="1" applyBorder="1" applyAlignment="1">
      <alignment horizontal="center" vertical="center" wrapText="1"/>
    </xf>
    <xf numFmtId="9" fontId="26" fillId="0" borderId="32" xfId="9" applyFont="1" applyFill="1" applyBorder="1" applyAlignment="1">
      <alignment horizontal="center" vertical="center" wrapText="1"/>
    </xf>
    <xf numFmtId="0" fontId="26" fillId="7" borderId="61" xfId="0" applyFont="1" applyFill="1" applyBorder="1" applyAlignment="1">
      <alignment horizontal="center" vertical="center" wrapText="1"/>
    </xf>
    <xf numFmtId="9" fontId="18" fillId="0" borderId="17" xfId="0" applyNumberFormat="1" applyFont="1" applyFill="1" applyBorder="1" applyAlignment="1">
      <alignment horizontal="center" vertical="center" wrapText="1"/>
    </xf>
    <xf numFmtId="0" fontId="24" fillId="0" borderId="1" xfId="0" applyFont="1" applyBorder="1" applyAlignment="1">
      <alignment horizontal="center" vertical="top" wrapText="1"/>
    </xf>
    <xf numFmtId="0" fontId="25" fillId="3" borderId="8" xfId="0" applyFont="1" applyFill="1" applyBorder="1" applyAlignment="1">
      <alignment horizontal="left" vertical="top" wrapText="1"/>
    </xf>
    <xf numFmtId="0" fontId="24" fillId="0" borderId="15" xfId="0" applyFont="1" applyFill="1" applyBorder="1" applyAlignment="1">
      <alignment horizontal="left" vertical="top" wrapText="1"/>
    </xf>
    <xf numFmtId="0" fontId="24" fillId="0" borderId="14" xfId="0" applyFont="1" applyFill="1" applyBorder="1" applyAlignment="1">
      <alignment horizontal="left" vertical="top" wrapText="1"/>
    </xf>
    <xf numFmtId="0" fontId="24" fillId="0" borderId="8" xfId="0" applyFont="1" applyFill="1" applyBorder="1" applyAlignment="1">
      <alignment horizontal="left" vertical="top" wrapText="1"/>
    </xf>
    <xf numFmtId="9" fontId="24" fillId="0" borderId="8" xfId="9" applyFont="1" applyBorder="1" applyAlignment="1">
      <alignment horizontal="left" vertical="top" wrapText="1"/>
    </xf>
    <xf numFmtId="9" fontId="24" fillId="0" borderId="15" xfId="9" applyFont="1" applyFill="1" applyBorder="1" applyAlignment="1">
      <alignment horizontal="left" vertical="top" wrapText="1"/>
    </xf>
    <xf numFmtId="0" fontId="24" fillId="0" borderId="14" xfId="0" applyFont="1" applyBorder="1" applyAlignment="1">
      <alignment horizontal="center" vertical="top" wrapText="1"/>
    </xf>
    <xf numFmtId="0" fontId="24" fillId="0" borderId="8" xfId="0" applyFont="1" applyFill="1" applyBorder="1" applyAlignment="1">
      <alignment horizontal="center" vertical="top" wrapText="1"/>
    </xf>
    <xf numFmtId="9" fontId="24" fillId="0" borderId="8" xfId="9" applyFont="1" applyFill="1" applyBorder="1" applyAlignment="1">
      <alignment horizontal="center" vertical="top" wrapText="1"/>
    </xf>
    <xf numFmtId="9" fontId="24" fillId="0" borderId="15" xfId="9" applyFont="1" applyFill="1" applyBorder="1" applyAlignment="1">
      <alignment horizontal="center" vertical="top" wrapText="1"/>
    </xf>
    <xf numFmtId="0" fontId="25" fillId="0" borderId="8" xfId="0" applyFont="1" applyFill="1" applyBorder="1" applyAlignment="1">
      <alignment horizontal="center" vertical="top" wrapText="1"/>
    </xf>
    <xf numFmtId="9" fontId="23" fillId="0" borderId="8" xfId="0" applyNumberFormat="1" applyFont="1" applyFill="1" applyBorder="1" applyAlignment="1">
      <alignment horizontal="center" vertical="top" wrapText="1"/>
    </xf>
    <xf numFmtId="0" fontId="24" fillId="0" borderId="8" xfId="0" applyNumberFormat="1" applyFont="1" applyFill="1" applyBorder="1" applyAlignment="1">
      <alignment horizontal="center" vertical="top" wrapText="1"/>
    </xf>
    <xf numFmtId="9" fontId="24" fillId="0" borderId="42" xfId="0" applyNumberFormat="1" applyFont="1" applyFill="1" applyBorder="1" applyAlignment="1">
      <alignment horizontal="center" vertical="top" wrapText="1"/>
    </xf>
    <xf numFmtId="0" fontId="25" fillId="0" borderId="15" xfId="0" applyFont="1" applyFill="1" applyBorder="1" applyAlignment="1">
      <alignment horizontal="left" vertical="top" wrapText="1"/>
    </xf>
    <xf numFmtId="0" fontId="25" fillId="0" borderId="14" xfId="0" applyFont="1" applyFill="1" applyBorder="1" applyAlignment="1">
      <alignment horizontal="left" vertical="top" wrapText="1"/>
    </xf>
    <xf numFmtId="0" fontId="25" fillId="0" borderId="8" xfId="0" applyFont="1" applyFill="1" applyBorder="1" applyAlignment="1">
      <alignment horizontal="left" vertical="top" wrapText="1"/>
    </xf>
    <xf numFmtId="0" fontId="24" fillId="0" borderId="14" xfId="0" applyNumberFormat="1" applyFont="1" applyFill="1" applyBorder="1" applyAlignment="1">
      <alignment horizontal="center" vertical="center" wrapText="1"/>
    </xf>
    <xf numFmtId="0" fontId="24" fillId="0" borderId="8" xfId="0" applyNumberFormat="1" applyFont="1" applyFill="1" applyBorder="1" applyAlignment="1">
      <alignment horizontal="center" vertical="center" wrapText="1"/>
    </xf>
    <xf numFmtId="0" fontId="23" fillId="0" borderId="8" xfId="0" applyNumberFormat="1" applyFont="1" applyFill="1" applyBorder="1" applyAlignment="1">
      <alignment horizontal="center" vertical="center" wrapText="1"/>
    </xf>
    <xf numFmtId="9" fontId="23" fillId="0" borderId="15" xfId="0" applyNumberFormat="1" applyFont="1" applyFill="1" applyBorder="1" applyAlignment="1">
      <alignment horizontal="center" vertical="center" wrapText="1"/>
    </xf>
    <xf numFmtId="0" fontId="25" fillId="3" borderId="60" xfId="0" applyFont="1" applyFill="1" applyBorder="1" applyAlignment="1">
      <alignment horizontal="left" vertical="top" wrapText="1"/>
    </xf>
    <xf numFmtId="0" fontId="25" fillId="0" borderId="58" xfId="0" applyFont="1" applyFill="1" applyBorder="1" applyAlignment="1">
      <alignment horizontal="left" vertical="top" wrapText="1"/>
    </xf>
    <xf numFmtId="9" fontId="23" fillId="0" borderId="8" xfId="9" applyFont="1" applyFill="1" applyBorder="1" applyAlignment="1">
      <alignment horizontal="center" vertical="top" wrapText="1"/>
    </xf>
    <xf numFmtId="2" fontId="24" fillId="0" borderId="42" xfId="0" applyNumberFormat="1" applyFont="1" applyFill="1" applyBorder="1" applyAlignment="1">
      <alignment horizontal="center" vertical="top" wrapText="1"/>
    </xf>
    <xf numFmtId="0" fontId="25" fillId="3" borderId="48" xfId="0" applyFont="1" applyFill="1" applyBorder="1" applyAlignment="1">
      <alignment horizontal="left" vertical="top" wrapText="1"/>
    </xf>
    <xf numFmtId="0" fontId="25" fillId="0" borderId="49" xfId="0" applyFont="1" applyFill="1" applyBorder="1" applyAlignment="1">
      <alignment horizontal="left" vertical="top" wrapText="1"/>
    </xf>
    <xf numFmtId="9" fontId="23" fillId="0" borderId="15" xfId="0" applyNumberFormat="1" applyFont="1" applyFill="1" applyBorder="1" applyAlignment="1">
      <alignment vertical="center" wrapText="1"/>
    </xf>
    <xf numFmtId="0" fontId="24" fillId="0" borderId="37" xfId="0" applyFont="1" applyBorder="1" applyAlignment="1">
      <alignment horizontal="center" vertical="top" wrapText="1"/>
    </xf>
    <xf numFmtId="0" fontId="25" fillId="3" borderId="17" xfId="0" applyFont="1" applyFill="1" applyBorder="1" applyAlignment="1">
      <alignment horizontal="left" vertical="top" wrapText="1"/>
    </xf>
    <xf numFmtId="0" fontId="25" fillId="0" borderId="18" xfId="0" applyFont="1" applyFill="1" applyBorder="1" applyAlignment="1">
      <alignment horizontal="left" vertical="top" wrapText="1"/>
    </xf>
    <xf numFmtId="0" fontId="25" fillId="0" borderId="16" xfId="0" applyFont="1" applyFill="1" applyBorder="1" applyAlignment="1">
      <alignment horizontal="left" vertical="top" wrapText="1"/>
    </xf>
    <xf numFmtId="0" fontId="25" fillId="0" borderId="17" xfId="0" applyFont="1" applyFill="1" applyBorder="1" applyAlignment="1">
      <alignment horizontal="left" vertical="top" wrapText="1"/>
    </xf>
    <xf numFmtId="9" fontId="24" fillId="0" borderId="17" xfId="9" applyFont="1" applyBorder="1" applyAlignment="1">
      <alignment horizontal="left" vertical="top" wrapText="1"/>
    </xf>
    <xf numFmtId="9" fontId="24" fillId="0" borderId="18" xfId="9" applyFont="1" applyFill="1" applyBorder="1" applyAlignment="1">
      <alignment horizontal="left" vertical="top" wrapText="1"/>
    </xf>
    <xf numFmtId="0" fontId="24" fillId="0" borderId="16" xfId="0" applyFont="1" applyBorder="1" applyAlignment="1">
      <alignment horizontal="center" vertical="top" wrapText="1"/>
    </xf>
    <xf numFmtId="0" fontId="24" fillId="0" borderId="17" xfId="0" applyFont="1" applyFill="1" applyBorder="1" applyAlignment="1">
      <alignment horizontal="center" vertical="top" wrapText="1"/>
    </xf>
    <xf numFmtId="9" fontId="24" fillId="0" borderId="17" xfId="9" applyFont="1" applyFill="1" applyBorder="1" applyAlignment="1">
      <alignment horizontal="center" vertical="top" wrapText="1"/>
    </xf>
    <xf numFmtId="9" fontId="24" fillId="0" borderId="18" xfId="9" applyFont="1" applyFill="1" applyBorder="1" applyAlignment="1">
      <alignment horizontal="center" vertical="top" wrapText="1"/>
    </xf>
    <xf numFmtId="0" fontId="24" fillId="0" borderId="16" xfId="0" applyFont="1" applyFill="1" applyBorder="1" applyAlignment="1">
      <alignment horizontal="center" vertical="top" wrapText="1"/>
    </xf>
    <xf numFmtId="9" fontId="24" fillId="0" borderId="17" xfId="9" applyNumberFormat="1" applyFont="1" applyFill="1" applyBorder="1" applyAlignment="1">
      <alignment horizontal="center" vertical="top" wrapText="1"/>
    </xf>
    <xf numFmtId="9" fontId="23" fillId="0" borderId="17" xfId="9" applyFont="1" applyFill="1" applyBorder="1" applyAlignment="1">
      <alignment horizontal="center" vertical="top" wrapText="1"/>
    </xf>
    <xf numFmtId="0" fontId="24" fillId="0" borderId="17" xfId="0" applyNumberFormat="1" applyFont="1" applyFill="1" applyBorder="1" applyAlignment="1">
      <alignment horizontal="center" vertical="top" wrapText="1"/>
    </xf>
    <xf numFmtId="9" fontId="24" fillId="0" borderId="44" xfId="0" applyNumberFormat="1" applyFont="1" applyFill="1" applyBorder="1" applyAlignment="1">
      <alignment horizontal="center" vertical="top" wrapText="1"/>
    </xf>
    <xf numFmtId="0" fontId="24" fillId="0" borderId="16" xfId="0" applyNumberFormat="1" applyFont="1" applyFill="1" applyBorder="1" applyAlignment="1">
      <alignment horizontal="center" vertical="center" wrapText="1"/>
    </xf>
    <xf numFmtId="0" fontId="24" fillId="0" borderId="17" xfId="0" applyNumberFormat="1" applyFont="1" applyFill="1" applyBorder="1" applyAlignment="1">
      <alignment horizontal="center" vertical="center" wrapText="1"/>
    </xf>
    <xf numFmtId="2" fontId="23" fillId="0" borderId="17" xfId="0" applyNumberFormat="1" applyFont="1" applyFill="1" applyBorder="1" applyAlignment="1">
      <alignment horizontal="center" vertical="center" wrapText="1"/>
    </xf>
    <xf numFmtId="9" fontId="23" fillId="0" borderId="18" xfId="0" applyNumberFormat="1" applyFont="1" applyFill="1" applyBorder="1" applyAlignment="1">
      <alignment horizontal="center" vertical="center" wrapText="1"/>
    </xf>
    <xf numFmtId="0" fontId="26" fillId="7" borderId="86" xfId="0" applyFont="1" applyFill="1" applyBorder="1" applyAlignment="1">
      <alignment horizontal="center" vertical="center" wrapText="1"/>
    </xf>
    <xf numFmtId="0" fontId="23" fillId="0" borderId="83" xfId="0" applyNumberFormat="1" applyFont="1" applyFill="1" applyBorder="1" applyAlignment="1">
      <alignment horizontal="center" vertical="center" wrapText="1"/>
    </xf>
    <xf numFmtId="0" fontId="23" fillId="0" borderId="84" xfId="0" applyNumberFormat="1" applyFont="1" applyFill="1" applyBorder="1" applyAlignment="1">
      <alignment horizontal="center" vertical="center" wrapText="1"/>
    </xf>
    <xf numFmtId="0" fontId="20" fillId="3" borderId="17" xfId="0" applyFont="1" applyFill="1" applyBorder="1" applyAlignment="1">
      <alignment horizontal="left" vertical="center" wrapText="1"/>
    </xf>
    <xf numFmtId="0" fontId="27" fillId="0" borderId="18" xfId="0" applyFont="1" applyFill="1" applyBorder="1" applyAlignment="1">
      <alignment vertical="center" wrapText="1"/>
    </xf>
    <xf numFmtId="0" fontId="20" fillId="0" borderId="16" xfId="0" applyFont="1" applyFill="1" applyBorder="1" applyAlignment="1">
      <alignment vertical="center" wrapText="1"/>
    </xf>
    <xf numFmtId="0" fontId="20" fillId="0" borderId="17" xfId="0" applyFont="1" applyFill="1" applyBorder="1" applyAlignment="1">
      <alignment vertical="center" wrapText="1"/>
    </xf>
    <xf numFmtId="9" fontId="19" fillId="0" borderId="18" xfId="9" applyFont="1" applyFill="1" applyBorder="1" applyAlignment="1">
      <alignment horizontal="left" vertical="center" wrapText="1"/>
    </xf>
    <xf numFmtId="0" fontId="20" fillId="0" borderId="16"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8" fillId="0" borderId="14" xfId="0" applyNumberFormat="1" applyFont="1" applyFill="1" applyBorder="1" applyAlignment="1">
      <alignment horizontal="center" vertical="center" wrapText="1"/>
    </xf>
    <xf numFmtId="0" fontId="28" fillId="0" borderId="8" xfId="0" applyNumberFormat="1" applyFont="1" applyFill="1" applyBorder="1" applyAlignment="1">
      <alignment horizontal="center" vertical="center" wrapText="1"/>
    </xf>
    <xf numFmtId="10" fontId="37" fillId="0" borderId="15" xfId="0" applyNumberFormat="1" applyFont="1" applyFill="1" applyBorder="1" applyAlignment="1">
      <alignment horizontal="center" vertical="center" wrapText="1"/>
    </xf>
    <xf numFmtId="0" fontId="37" fillId="0" borderId="83" xfId="0" applyNumberFormat="1" applyFont="1" applyFill="1" applyBorder="1" applyAlignment="1">
      <alignment horizontal="center" vertical="center" wrapText="1"/>
    </xf>
    <xf numFmtId="0" fontId="37" fillId="0" borderId="8" xfId="0" applyNumberFormat="1" applyFont="1" applyFill="1" applyBorder="1" applyAlignment="1">
      <alignment horizontal="center" vertical="center" wrapText="1"/>
    </xf>
    <xf numFmtId="9" fontId="37" fillId="0" borderId="15" xfId="0" applyNumberFormat="1" applyFont="1" applyFill="1" applyBorder="1" applyAlignment="1">
      <alignment horizontal="center" vertical="center" wrapText="1"/>
    </xf>
    <xf numFmtId="0" fontId="28" fillId="0" borderId="16" xfId="0" applyNumberFormat="1" applyFont="1" applyFill="1" applyBorder="1" applyAlignment="1">
      <alignment horizontal="center" vertical="center" wrapText="1"/>
    </xf>
    <xf numFmtId="0" fontId="28" fillId="0" borderId="17" xfId="0" applyNumberFormat="1" applyFont="1" applyFill="1" applyBorder="1" applyAlignment="1">
      <alignment horizontal="center" vertical="center" wrapText="1"/>
    </xf>
    <xf numFmtId="9" fontId="37" fillId="0" borderId="18" xfId="0" applyNumberFormat="1" applyFont="1" applyFill="1" applyBorder="1" applyAlignment="1">
      <alignment horizontal="center" vertical="center" wrapText="1"/>
    </xf>
    <xf numFmtId="0" fontId="37" fillId="0" borderId="84" xfId="0" applyNumberFormat="1" applyFont="1" applyFill="1" applyBorder="1" applyAlignment="1">
      <alignment horizontal="center" vertical="center" wrapText="1"/>
    </xf>
    <xf numFmtId="0" fontId="37" fillId="0" borderId="17" xfId="0" applyNumberFormat="1" applyFont="1" applyFill="1" applyBorder="1" applyAlignment="1">
      <alignment horizontal="center" vertical="center" wrapText="1"/>
    </xf>
    <xf numFmtId="9" fontId="19" fillId="0" borderId="0" xfId="0" applyNumberFormat="1" applyFont="1" applyAlignment="1">
      <alignment horizontal="center" vertical="center" wrapText="1"/>
    </xf>
  </cellXfs>
  <cellStyles count="17">
    <cellStyle name="Hipervínculo" xfId="12" builtinId="8" hidden="1"/>
    <cellStyle name="Hipervínculo" xfId="10" builtinId="8" hidden="1"/>
    <cellStyle name="Hipervínculo visitado" xfId="13" builtinId="9" hidden="1"/>
    <cellStyle name="Hipervínculo visitado" xfId="11" builtinId="9" hidden="1"/>
    <cellStyle name="Millares" xfId="1" builtinId="3"/>
    <cellStyle name="Millares 2" xfId="3" xr:uid="{00000000-0005-0000-0000-000005000000}"/>
    <cellStyle name="Millares 2 2" xfId="4" xr:uid="{00000000-0005-0000-0000-000006000000}"/>
    <cellStyle name="Millares 2 2 2" xfId="5" xr:uid="{00000000-0005-0000-0000-000007000000}"/>
    <cellStyle name="Millares 2 2 2 2" xfId="8" xr:uid="{00000000-0005-0000-0000-000008000000}"/>
    <cellStyle name="Millares 2 2 2 2 2" xfId="16" xr:uid="{00000000-0005-0000-0000-000004000000}"/>
    <cellStyle name="Millares 2 2 2 3" xfId="15" xr:uid="{00000000-0005-0000-0000-000003000000}"/>
    <cellStyle name="Millares 2 2 3" xfId="14" xr:uid="{00000000-0005-0000-0000-000002000000}"/>
    <cellStyle name="Normal" xfId="0" builtinId="0"/>
    <cellStyle name="Normal 2" xfId="2" xr:uid="{00000000-0005-0000-0000-00000A000000}"/>
    <cellStyle name="Normal 2 2" xfId="6" xr:uid="{00000000-0005-0000-0000-00000B000000}"/>
    <cellStyle name="Normal 3" xfId="7" xr:uid="{00000000-0005-0000-0000-00000C000000}"/>
    <cellStyle name="Porcentaje"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ificacion/UPI%202019/PLAN%20PRESUPUESTO%202019/PRESUPUESTO%20EXTRAORDINARIO/POI%202019%20%20AJUSTADO%20CON%20PRESUP%20EXTRAORD%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I "/>
      <sheetName val="POI 2019"/>
      <sheetName val="Hoja1"/>
      <sheetName val="RESUMEN"/>
      <sheetName val="REPORTE 1"/>
      <sheetName val="REPORTE 2"/>
      <sheetName val="REPORTE 5"/>
      <sheetName val="REPORTE 6"/>
      <sheetName val="REPORTE 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E7148-7A79-475D-A83E-729F77251236}">
  <sheetPr codeName="Hoja7"/>
  <dimension ref="A1:AP25"/>
  <sheetViews>
    <sheetView zoomScale="50" zoomScaleNormal="50" zoomScaleSheetLayoutView="102" workbookViewId="0">
      <pane xSplit="2" ySplit="6" topLeftCell="C13" activePane="bottomRight" state="frozen"/>
      <selection sqref="A1:XFD1048576"/>
      <selection pane="topRight" sqref="A1:XFD1048576"/>
      <selection pane="bottomLeft" sqref="A1:XFD1048576"/>
      <selection pane="bottomRight" sqref="A1:XFD1048576"/>
    </sheetView>
  </sheetViews>
  <sheetFormatPr baseColWidth="10" defaultColWidth="10.85546875" defaultRowHeight="20.25" x14ac:dyDescent="0.25"/>
  <cols>
    <col min="1" max="1" width="15" style="1" customWidth="1"/>
    <col min="2" max="2" width="34.28515625" style="161" customWidth="1"/>
    <col min="3" max="3" width="30.140625" style="41" customWidth="1"/>
    <col min="4" max="4" width="16.7109375" style="42" customWidth="1"/>
    <col min="5" max="5" width="12.140625" style="43" customWidth="1"/>
    <col min="6" max="6" width="13" style="144" customWidth="1"/>
    <col min="7" max="7" width="16" style="145" customWidth="1"/>
    <col min="8" max="8" width="12.42578125" style="44" customWidth="1"/>
    <col min="9" max="9" width="15.42578125" style="41" customWidth="1"/>
    <col min="10" max="10" width="18.7109375" style="42" customWidth="1"/>
    <col min="11" max="11" width="14.7109375" style="43" customWidth="1"/>
    <col min="12" max="12" width="13" style="144" customWidth="1"/>
    <col min="13" max="13" width="16" style="145" customWidth="1"/>
    <col min="14" max="14" width="12.42578125" style="44" customWidth="1"/>
    <col min="15" max="15" width="15.42578125" style="41" customWidth="1"/>
    <col min="16" max="16" width="28.7109375" style="42" customWidth="1"/>
    <col min="17" max="17" width="12.140625" style="43" customWidth="1"/>
    <col min="18" max="18" width="13" style="144" customWidth="1"/>
    <col min="19" max="19" width="12.7109375" style="145" customWidth="1"/>
    <col min="20" max="21" width="12.42578125" style="44" customWidth="1"/>
    <col min="22" max="22" width="15.42578125" style="43" customWidth="1"/>
    <col min="23" max="23" width="13.42578125" style="1" customWidth="1"/>
    <col min="24" max="24" width="6.85546875" style="1" customWidth="1"/>
    <col min="25" max="25" width="4.7109375" style="1" customWidth="1"/>
    <col min="26" max="26" width="6.42578125" style="1" customWidth="1"/>
    <col min="27" max="27" width="5.7109375" style="1" customWidth="1"/>
    <col min="28" max="28" width="4.7109375" style="1" customWidth="1"/>
    <col min="29" max="30" width="6.140625" style="1" customWidth="1"/>
    <col min="31" max="31" width="7.140625" style="1" customWidth="1"/>
    <col min="32" max="33" width="10.85546875" style="1"/>
    <col min="34" max="34" width="20.7109375" style="1" customWidth="1"/>
    <col min="35" max="35" width="10.85546875" style="1"/>
    <col min="36" max="36" width="11.140625" style="1" bestFit="1" customWidth="1"/>
    <col min="37" max="37" width="11" style="1" bestFit="1" customWidth="1"/>
    <col min="38" max="38" width="22.85546875" style="1" customWidth="1"/>
    <col min="39" max="39" width="10.85546875" style="1"/>
    <col min="40" max="41" width="11" style="1" bestFit="1" customWidth="1"/>
    <col min="42" max="42" width="26.42578125" style="1" customWidth="1"/>
    <col min="43" max="43" width="10.85546875" style="1"/>
    <col min="44" max="45" width="11" style="1" bestFit="1" customWidth="1"/>
    <col min="46" max="16384" width="10.85546875" style="1"/>
  </cols>
  <sheetData>
    <row r="1" spans="1:35" ht="15.75" x14ac:dyDescent="0.25">
      <c r="A1" s="473"/>
      <c r="B1" s="473"/>
      <c r="C1" s="473"/>
      <c r="D1" s="473"/>
      <c r="E1" s="473"/>
      <c r="F1" s="473"/>
      <c r="G1" s="473"/>
      <c r="H1" s="473"/>
      <c r="I1" s="473"/>
      <c r="J1" s="473"/>
      <c r="K1" s="473"/>
      <c r="L1" s="473"/>
      <c r="M1" s="473"/>
      <c r="N1" s="473"/>
      <c r="O1" s="473"/>
      <c r="P1" s="473"/>
      <c r="Q1" s="473"/>
      <c r="R1" s="473"/>
      <c r="S1" s="473"/>
      <c r="T1" s="473"/>
      <c r="U1" s="473"/>
      <c r="V1" s="473"/>
    </row>
    <row r="2" spans="1:35" ht="15" customHeight="1" x14ac:dyDescent="0.25">
      <c r="A2" s="474"/>
      <c r="B2" s="474"/>
      <c r="C2" s="474"/>
      <c r="D2" s="474"/>
      <c r="E2" s="474"/>
      <c r="F2" s="474"/>
      <c r="G2" s="474"/>
      <c r="H2" s="474"/>
      <c r="I2" s="474"/>
      <c r="J2" s="474"/>
      <c r="K2" s="474"/>
      <c r="L2" s="474"/>
      <c r="M2" s="474"/>
      <c r="N2" s="474"/>
      <c r="O2" s="474"/>
      <c r="P2" s="474"/>
      <c r="Q2" s="474"/>
      <c r="R2" s="474"/>
      <c r="S2" s="474"/>
      <c r="T2" s="474"/>
      <c r="U2" s="474"/>
      <c r="V2" s="474"/>
    </row>
    <row r="3" spans="1:35" ht="15" customHeight="1" thickBot="1" x14ac:dyDescent="0.3">
      <c r="A3" s="475" t="s">
        <v>119</v>
      </c>
      <c r="B3" s="475"/>
      <c r="C3" s="475"/>
      <c r="D3" s="475"/>
      <c r="E3" s="475"/>
      <c r="F3" s="475"/>
      <c r="G3" s="475"/>
      <c r="H3" s="475"/>
      <c r="I3" s="475"/>
      <c r="J3" s="475"/>
      <c r="K3" s="475"/>
      <c r="L3" s="475"/>
      <c r="M3" s="475"/>
      <c r="N3" s="475"/>
      <c r="O3" s="475"/>
      <c r="P3" s="475"/>
      <c r="Q3" s="475"/>
      <c r="R3" s="475"/>
      <c r="S3" s="475"/>
      <c r="T3" s="475"/>
      <c r="U3" s="475"/>
      <c r="V3" s="475"/>
    </row>
    <row r="4" spans="1:35" ht="27" customHeight="1" thickBot="1" x14ac:dyDescent="0.3">
      <c r="A4" s="2"/>
      <c r="B4" s="156"/>
      <c r="C4" s="476">
        <v>2016</v>
      </c>
      <c r="D4" s="477"/>
      <c r="E4" s="477"/>
      <c r="F4" s="477"/>
      <c r="G4" s="477"/>
      <c r="H4" s="478"/>
      <c r="I4" s="479">
        <v>2017</v>
      </c>
      <c r="J4" s="480"/>
      <c r="K4" s="480"/>
      <c r="L4" s="480"/>
      <c r="M4" s="480"/>
      <c r="N4" s="481"/>
      <c r="O4" s="476">
        <v>2018</v>
      </c>
      <c r="P4" s="477"/>
      <c r="Q4" s="477"/>
      <c r="R4" s="477"/>
      <c r="S4" s="477"/>
      <c r="T4" s="477"/>
      <c r="U4" s="476" t="s">
        <v>4</v>
      </c>
      <c r="V4" s="478"/>
      <c r="W4" s="3"/>
    </row>
    <row r="5" spans="1:35" s="3" customFormat="1" ht="15" customHeight="1" x14ac:dyDescent="0.25">
      <c r="A5" s="471" t="s">
        <v>10</v>
      </c>
      <c r="B5" s="472" t="s">
        <v>11</v>
      </c>
      <c r="C5" s="466" t="s">
        <v>6</v>
      </c>
      <c r="D5" s="466"/>
      <c r="E5" s="466"/>
      <c r="F5" s="468" t="s">
        <v>7</v>
      </c>
      <c r="G5" s="468"/>
      <c r="H5" s="469" t="s">
        <v>120</v>
      </c>
      <c r="I5" s="466" t="s">
        <v>6</v>
      </c>
      <c r="J5" s="466"/>
      <c r="K5" s="466"/>
      <c r="L5" s="468" t="s">
        <v>7</v>
      </c>
      <c r="M5" s="468"/>
      <c r="N5" s="469" t="s">
        <v>120</v>
      </c>
      <c r="O5" s="466" t="s">
        <v>6</v>
      </c>
      <c r="P5" s="466"/>
      <c r="Q5" s="466"/>
      <c r="R5" s="468" t="s">
        <v>7</v>
      </c>
      <c r="S5" s="468"/>
      <c r="T5" s="469" t="s">
        <v>120</v>
      </c>
      <c r="U5" s="466" t="s">
        <v>18</v>
      </c>
      <c r="V5" s="466" t="s">
        <v>19</v>
      </c>
      <c r="W5" s="4"/>
    </row>
    <row r="6" spans="1:35" s="6" customFormat="1" ht="63.75" thickBot="1" x14ac:dyDescent="0.3">
      <c r="A6" s="471"/>
      <c r="B6" s="472"/>
      <c r="C6" s="123" t="s">
        <v>12</v>
      </c>
      <c r="D6" s="171" t="s">
        <v>13</v>
      </c>
      <c r="E6" s="171" t="s">
        <v>14</v>
      </c>
      <c r="F6" s="135" t="s">
        <v>121</v>
      </c>
      <c r="G6" s="135" t="s">
        <v>16</v>
      </c>
      <c r="H6" s="470"/>
      <c r="I6" s="123" t="s">
        <v>12</v>
      </c>
      <c r="J6" s="171" t="s">
        <v>13</v>
      </c>
      <c r="K6" s="171" t="s">
        <v>14</v>
      </c>
      <c r="L6" s="135" t="s">
        <v>121</v>
      </c>
      <c r="M6" s="135" t="s">
        <v>16</v>
      </c>
      <c r="N6" s="470"/>
      <c r="O6" s="123" t="s">
        <v>12</v>
      </c>
      <c r="P6" s="171" t="s">
        <v>13</v>
      </c>
      <c r="Q6" s="171" t="s">
        <v>14</v>
      </c>
      <c r="R6" s="135" t="s">
        <v>121</v>
      </c>
      <c r="S6" s="135" t="s">
        <v>16</v>
      </c>
      <c r="T6" s="470"/>
      <c r="U6" s="467"/>
      <c r="V6" s="467"/>
      <c r="W6" s="5"/>
    </row>
    <row r="7" spans="1:35" ht="163.5" thickTop="1" thickBot="1" x14ac:dyDescent="0.3">
      <c r="A7" s="7" t="s">
        <v>122</v>
      </c>
      <c r="B7" s="157" t="s">
        <v>123</v>
      </c>
      <c r="C7" s="8">
        <v>0.85</v>
      </c>
      <c r="D7" s="9">
        <v>0.98</v>
      </c>
      <c r="E7" s="10">
        <v>1.2</v>
      </c>
      <c r="F7" s="146">
        <v>130</v>
      </c>
      <c r="G7" s="146">
        <v>80.3</v>
      </c>
      <c r="H7" s="11">
        <f>+G7/F7</f>
        <v>0.61769230769230765</v>
      </c>
      <c r="I7" s="8">
        <v>0.85</v>
      </c>
      <c r="J7" s="9">
        <v>0.95</v>
      </c>
      <c r="K7" s="10">
        <v>1.1200000000000001</v>
      </c>
      <c r="L7" s="155">
        <v>114.5</v>
      </c>
      <c r="M7" s="146">
        <v>61.3</v>
      </c>
      <c r="N7" s="10">
        <f>+M7/L7</f>
        <v>0.53537117903930131</v>
      </c>
      <c r="O7" s="8">
        <v>0.85</v>
      </c>
      <c r="P7" s="9">
        <v>0.95</v>
      </c>
      <c r="Q7" s="10">
        <v>0.95</v>
      </c>
      <c r="R7" s="458">
        <v>224.2</v>
      </c>
      <c r="S7" s="458">
        <v>153.6</v>
      </c>
      <c r="T7" s="456">
        <f>+S7/R7</f>
        <v>0.68510258697591442</v>
      </c>
      <c r="U7" s="172">
        <f>AVERAGE(E7,K7,Q7)</f>
        <v>1.0900000000000001</v>
      </c>
      <c r="V7" s="12">
        <f t="shared" ref="V7:V19" si="0">AVERAGE(H7,N7,T7)</f>
        <v>0.61272202456917446</v>
      </c>
      <c r="W7" s="13"/>
    </row>
    <row r="8" spans="1:35" s="42" customFormat="1" ht="102.75" thickTop="1" thickBot="1" x14ac:dyDescent="0.3">
      <c r="A8" s="150" t="s">
        <v>122</v>
      </c>
      <c r="B8" s="158" t="s">
        <v>124</v>
      </c>
      <c r="C8" s="14">
        <v>-0.05</v>
      </c>
      <c r="D8" s="151">
        <v>-4.4999999999999998E-2</v>
      </c>
      <c r="E8" s="12">
        <v>0.9</v>
      </c>
      <c r="F8" s="141">
        <v>0</v>
      </c>
      <c r="G8" s="141">
        <v>0</v>
      </c>
      <c r="H8" s="11">
        <v>0</v>
      </c>
      <c r="I8" s="14">
        <v>-0.05</v>
      </c>
      <c r="J8" s="152" t="s">
        <v>125</v>
      </c>
      <c r="K8" s="10">
        <v>0.73799999999999999</v>
      </c>
      <c r="L8" s="139"/>
      <c r="M8" s="141">
        <v>0</v>
      </c>
      <c r="N8" s="11">
        <v>0</v>
      </c>
      <c r="O8" s="14">
        <v>-0.05</v>
      </c>
      <c r="P8" s="153">
        <v>-4.5999999999999999E-2</v>
      </c>
      <c r="Q8" s="10">
        <v>0.92</v>
      </c>
      <c r="R8" s="464"/>
      <c r="S8" s="464"/>
      <c r="T8" s="457"/>
      <c r="U8" s="172">
        <f>AVERAGE(E8,K8,Q8)</f>
        <v>0.85266666666666657</v>
      </c>
      <c r="V8" s="12">
        <f t="shared" si="0"/>
        <v>0</v>
      </c>
      <c r="W8" s="154"/>
    </row>
    <row r="9" spans="1:35" ht="338.1" customHeight="1" thickTop="1" thickBot="1" x14ac:dyDescent="0.3">
      <c r="A9" s="7" t="s">
        <v>122</v>
      </c>
      <c r="B9" s="159" t="s">
        <v>126</v>
      </c>
      <c r="C9" s="15">
        <v>1</v>
      </c>
      <c r="D9" s="16">
        <v>1</v>
      </c>
      <c r="E9" s="12">
        <v>1</v>
      </c>
      <c r="F9" s="147">
        <v>0.5</v>
      </c>
      <c r="G9" s="148">
        <v>0.46</v>
      </c>
      <c r="H9" s="11">
        <f t="shared" ref="H9:H19" si="1">+G9/F9</f>
        <v>0.92</v>
      </c>
      <c r="I9" s="17">
        <v>1</v>
      </c>
      <c r="J9" s="16">
        <v>1</v>
      </c>
      <c r="K9" s="10">
        <v>1</v>
      </c>
      <c r="L9" s="460">
        <v>10.8</v>
      </c>
      <c r="M9" s="136">
        <v>1.5</v>
      </c>
      <c r="N9" s="11">
        <f>+M9/L9</f>
        <v>0.13888888888888887</v>
      </c>
      <c r="O9" s="17">
        <v>1</v>
      </c>
      <c r="P9" s="16">
        <v>1</v>
      </c>
      <c r="Q9" s="10">
        <v>1</v>
      </c>
      <c r="R9" s="460">
        <v>13</v>
      </c>
      <c r="S9" s="136">
        <v>1.7</v>
      </c>
      <c r="T9" s="11">
        <f>+S9/R9</f>
        <v>0.13076923076923078</v>
      </c>
      <c r="U9" s="11"/>
      <c r="V9" s="12">
        <f t="shared" si="0"/>
        <v>0.39655270655270658</v>
      </c>
      <c r="W9" s="13"/>
    </row>
    <row r="10" spans="1:35" ht="327.95" customHeight="1" thickTop="1" thickBot="1" x14ac:dyDescent="0.3">
      <c r="A10" s="7" t="s">
        <v>122</v>
      </c>
      <c r="B10" s="159" t="s">
        <v>127</v>
      </c>
      <c r="C10" s="18" t="s">
        <v>128</v>
      </c>
      <c r="D10" s="16" t="s">
        <v>129</v>
      </c>
      <c r="E10" s="12">
        <v>0.75</v>
      </c>
      <c r="F10" s="147">
        <v>0</v>
      </c>
      <c r="G10" s="148">
        <v>0</v>
      </c>
      <c r="H10" s="11">
        <v>0</v>
      </c>
      <c r="I10" s="18" t="s">
        <v>128</v>
      </c>
      <c r="J10" s="16" t="s">
        <v>130</v>
      </c>
      <c r="K10" s="10">
        <v>0.79859999999999998</v>
      </c>
      <c r="L10" s="465"/>
      <c r="M10" s="137">
        <v>0</v>
      </c>
      <c r="N10" s="11">
        <v>0</v>
      </c>
      <c r="O10" s="18" t="s">
        <v>128</v>
      </c>
      <c r="P10" s="16" t="s">
        <v>131</v>
      </c>
      <c r="Q10" s="10">
        <v>0.75</v>
      </c>
      <c r="R10" s="465"/>
      <c r="S10" s="137">
        <v>0</v>
      </c>
      <c r="T10" s="11">
        <v>0</v>
      </c>
      <c r="U10" s="11"/>
      <c r="V10" s="12">
        <f t="shared" si="0"/>
        <v>0</v>
      </c>
      <c r="W10" s="13"/>
    </row>
    <row r="11" spans="1:35" ht="301.5" customHeight="1" thickTop="1" thickBot="1" x14ac:dyDescent="0.3">
      <c r="A11" s="7" t="s">
        <v>122</v>
      </c>
      <c r="B11" s="159" t="s">
        <v>132</v>
      </c>
      <c r="C11" s="19" t="s">
        <v>133</v>
      </c>
      <c r="D11" s="20" t="s">
        <v>134</v>
      </c>
      <c r="E11" s="12">
        <v>0.66</v>
      </c>
      <c r="F11" s="147">
        <v>0</v>
      </c>
      <c r="G11" s="148">
        <v>0</v>
      </c>
      <c r="H11" s="11">
        <v>0</v>
      </c>
      <c r="I11" s="19" t="s">
        <v>133</v>
      </c>
      <c r="J11" s="20" t="s">
        <v>135</v>
      </c>
      <c r="K11" s="10">
        <v>0.72899999999999998</v>
      </c>
      <c r="L11" s="136">
        <v>15.9</v>
      </c>
      <c r="M11" s="138">
        <v>12.6</v>
      </c>
      <c r="N11" s="11">
        <v>0.79220000000000002</v>
      </c>
      <c r="O11" s="19" t="s">
        <v>133</v>
      </c>
      <c r="P11" s="20" t="s">
        <v>136</v>
      </c>
      <c r="Q11" s="10">
        <v>0.78300000000000003</v>
      </c>
      <c r="R11" s="136">
        <v>28.8</v>
      </c>
      <c r="S11" s="138">
        <v>5.4</v>
      </c>
      <c r="T11" s="11">
        <v>0.188</v>
      </c>
      <c r="U11" s="11"/>
      <c r="V11" s="12">
        <f t="shared" si="0"/>
        <v>0.32673333333333332</v>
      </c>
      <c r="W11" s="13"/>
    </row>
    <row r="12" spans="1:35" ht="196.5" thickTop="1" thickBot="1" x14ac:dyDescent="0.3">
      <c r="A12" s="7" t="s">
        <v>122</v>
      </c>
      <c r="B12" s="159" t="s">
        <v>137</v>
      </c>
      <c r="C12" s="21" t="s">
        <v>138</v>
      </c>
      <c r="D12" s="20" t="s">
        <v>139</v>
      </c>
      <c r="E12" s="12">
        <v>1</v>
      </c>
      <c r="F12" s="147">
        <v>0</v>
      </c>
      <c r="G12" s="148">
        <v>0</v>
      </c>
      <c r="H12" s="11">
        <v>0</v>
      </c>
      <c r="I12" s="18" t="s">
        <v>138</v>
      </c>
      <c r="J12" s="20" t="s">
        <v>140</v>
      </c>
      <c r="K12" s="10">
        <v>1</v>
      </c>
      <c r="L12" s="136">
        <v>0</v>
      </c>
      <c r="M12" s="138">
        <v>0</v>
      </c>
      <c r="N12" s="11">
        <v>0</v>
      </c>
      <c r="O12" s="18" t="s">
        <v>138</v>
      </c>
      <c r="P12" s="20" t="s">
        <v>141</v>
      </c>
      <c r="Q12" s="10">
        <v>1</v>
      </c>
      <c r="R12" s="136">
        <v>0</v>
      </c>
      <c r="S12" s="138">
        <v>0</v>
      </c>
      <c r="T12" s="11">
        <v>0</v>
      </c>
      <c r="U12" s="11"/>
      <c r="V12" s="12">
        <f t="shared" si="0"/>
        <v>0</v>
      </c>
      <c r="W12" s="13"/>
    </row>
    <row r="13" spans="1:35" ht="150.94999999999999" customHeight="1" thickTop="1" thickBot="1" x14ac:dyDescent="0.3">
      <c r="A13" s="22" t="s">
        <v>142</v>
      </c>
      <c r="B13" s="159" t="s">
        <v>143</v>
      </c>
      <c r="C13" s="14" t="s">
        <v>144</v>
      </c>
      <c r="D13" s="20" t="s">
        <v>145</v>
      </c>
      <c r="E13" s="10">
        <f>7/15</f>
        <v>0.46666666666666667</v>
      </c>
      <c r="F13" s="149">
        <v>1875.29</v>
      </c>
      <c r="G13" s="148">
        <v>1486.19</v>
      </c>
      <c r="H13" s="11">
        <f t="shared" si="1"/>
        <v>0.79251209146318702</v>
      </c>
      <c r="I13" s="19" t="s">
        <v>144</v>
      </c>
      <c r="J13" s="20" t="s">
        <v>146</v>
      </c>
      <c r="K13" s="10">
        <f>10/15</f>
        <v>0.66666666666666663</v>
      </c>
      <c r="L13" s="458">
        <v>6437.7</v>
      </c>
      <c r="M13" s="460">
        <v>5550.5</v>
      </c>
      <c r="N13" s="462">
        <f>+M13/L13</f>
        <v>0.86218680584680862</v>
      </c>
      <c r="O13" s="19" t="s">
        <v>144</v>
      </c>
      <c r="P13" s="20" t="s">
        <v>147</v>
      </c>
      <c r="Q13" s="10">
        <v>0.47</v>
      </c>
      <c r="R13" s="458">
        <v>6803.2</v>
      </c>
      <c r="S13" s="460">
        <v>6091.54</v>
      </c>
      <c r="T13" s="462">
        <f>+S13/R13</f>
        <v>0.89539334430856066</v>
      </c>
      <c r="U13" s="174"/>
      <c r="V13" s="12">
        <f t="shared" si="0"/>
        <v>0.85003074720618554</v>
      </c>
    </row>
    <row r="14" spans="1:35" ht="131.1" customHeight="1" thickTop="1" thickBot="1" x14ac:dyDescent="0.3">
      <c r="A14" s="22" t="s">
        <v>142</v>
      </c>
      <c r="B14" s="159" t="s">
        <v>148</v>
      </c>
      <c r="C14" s="23" t="s">
        <v>149</v>
      </c>
      <c r="D14" s="20" t="s">
        <v>150</v>
      </c>
      <c r="E14" s="10">
        <f>18/7</f>
        <v>2.5714285714285716</v>
      </c>
      <c r="F14" s="149">
        <v>3531.66</v>
      </c>
      <c r="G14" s="138">
        <v>3305.25</v>
      </c>
      <c r="H14" s="11">
        <f t="shared" si="1"/>
        <v>0.93589133721819207</v>
      </c>
      <c r="I14" s="24" t="s">
        <v>149</v>
      </c>
      <c r="J14" s="20" t="s">
        <v>151</v>
      </c>
      <c r="K14" s="10">
        <f>18/7</f>
        <v>2.5714285714285716</v>
      </c>
      <c r="L14" s="459"/>
      <c r="M14" s="461"/>
      <c r="N14" s="463"/>
      <c r="O14" s="24" t="s">
        <v>149</v>
      </c>
      <c r="P14" s="20" t="s">
        <v>152</v>
      </c>
      <c r="Q14" s="10">
        <v>1</v>
      </c>
      <c r="R14" s="459"/>
      <c r="S14" s="461"/>
      <c r="T14" s="463"/>
      <c r="U14" s="175"/>
      <c r="V14" s="12">
        <f t="shared" si="0"/>
        <v>0.93589133721819207</v>
      </c>
    </row>
    <row r="15" spans="1:35" ht="176.1" customHeight="1" thickTop="1" thickBot="1" x14ac:dyDescent="0.25">
      <c r="A15" s="7" t="s">
        <v>153</v>
      </c>
      <c r="B15" s="160" t="s">
        <v>154</v>
      </c>
      <c r="C15" s="14" t="s">
        <v>155</v>
      </c>
      <c r="D15" s="24" t="s">
        <v>156</v>
      </c>
      <c r="E15" s="10">
        <f>78.62/75</f>
        <v>1.0482666666666667</v>
      </c>
      <c r="F15" s="149">
        <v>64.05</v>
      </c>
      <c r="G15" s="138">
        <v>51.53</v>
      </c>
      <c r="H15" s="11">
        <f t="shared" si="1"/>
        <v>0.80452771272443413</v>
      </c>
      <c r="I15" s="19" t="s">
        <v>157</v>
      </c>
      <c r="J15" s="24" t="s">
        <v>158</v>
      </c>
      <c r="K15" s="10">
        <v>0.77</v>
      </c>
      <c r="L15" s="139">
        <v>43.1</v>
      </c>
      <c r="M15" s="140">
        <v>4.3</v>
      </c>
      <c r="N15" s="26">
        <v>8.9999999999999998E-4</v>
      </c>
      <c r="O15" s="19" t="s">
        <v>155</v>
      </c>
      <c r="P15" s="24" t="s">
        <v>159</v>
      </c>
      <c r="Q15" s="10">
        <v>0.33</v>
      </c>
      <c r="R15" s="139"/>
      <c r="S15" s="140"/>
      <c r="T15" s="134">
        <v>8.9999999999999998E-4</v>
      </c>
      <c r="U15" s="26"/>
      <c r="V15" s="12">
        <f t="shared" si="0"/>
        <v>0.26877590424147807</v>
      </c>
      <c r="AF15" s="27"/>
      <c r="AG15" s="27"/>
      <c r="AH15" s="27"/>
      <c r="AI15" s="27"/>
    </row>
    <row r="16" spans="1:35" ht="141" customHeight="1" thickTop="1" thickBot="1" x14ac:dyDescent="0.3">
      <c r="A16" s="7" t="s">
        <v>160</v>
      </c>
      <c r="B16" s="160" t="s">
        <v>161</v>
      </c>
      <c r="C16" s="19">
        <v>1</v>
      </c>
      <c r="D16" s="16">
        <f>7/8</f>
        <v>0.875</v>
      </c>
      <c r="E16" s="12">
        <f>+D16</f>
        <v>0.875</v>
      </c>
      <c r="F16" s="149">
        <v>1088.4100000000001</v>
      </c>
      <c r="G16" s="148">
        <v>947.23</v>
      </c>
      <c r="H16" s="11">
        <f t="shared" si="1"/>
        <v>0.87028785108552842</v>
      </c>
      <c r="I16" s="19">
        <v>1</v>
      </c>
      <c r="J16" s="28" t="s">
        <v>162</v>
      </c>
      <c r="K16" s="10">
        <v>0.91</v>
      </c>
      <c r="L16" s="141">
        <v>445.3</v>
      </c>
      <c r="M16" s="138">
        <v>292.8</v>
      </c>
      <c r="N16" s="10">
        <f>+M16/L16</f>
        <v>0.65753424657534243</v>
      </c>
      <c r="O16" s="19">
        <v>1</v>
      </c>
      <c r="P16" s="28" t="s">
        <v>163</v>
      </c>
      <c r="Q16" s="10">
        <v>0.52</v>
      </c>
      <c r="R16" s="141">
        <v>735.16</v>
      </c>
      <c r="S16" s="138">
        <v>292.16000000000003</v>
      </c>
      <c r="T16" s="10">
        <v>0.39741008759997831</v>
      </c>
      <c r="U16" s="10"/>
      <c r="V16" s="12">
        <f t="shared" si="0"/>
        <v>0.64174406175361642</v>
      </c>
      <c r="W16" s="29"/>
      <c r="AC16" s="30"/>
      <c r="AD16" s="31"/>
    </row>
    <row r="17" spans="1:42" ht="297" customHeight="1" thickTop="1" thickBot="1" x14ac:dyDescent="0.3">
      <c r="A17" s="7" t="s">
        <v>160</v>
      </c>
      <c r="B17" s="157" t="s">
        <v>164</v>
      </c>
      <c r="C17" s="32" t="s">
        <v>165</v>
      </c>
      <c r="D17" s="25" t="s">
        <v>166</v>
      </c>
      <c r="E17" s="12">
        <v>0.35</v>
      </c>
      <c r="F17" s="149">
        <v>7402.24</v>
      </c>
      <c r="G17" s="148">
        <v>279.68</v>
      </c>
      <c r="H17" s="11">
        <f t="shared" si="1"/>
        <v>3.7783157530693411E-2</v>
      </c>
      <c r="I17" s="14" t="s">
        <v>165</v>
      </c>
      <c r="J17" s="20" t="s">
        <v>167</v>
      </c>
      <c r="K17" s="10">
        <v>0.35</v>
      </c>
      <c r="L17" s="458">
        <v>6818</v>
      </c>
      <c r="M17" s="460">
        <v>515.29999999999995</v>
      </c>
      <c r="N17" s="456">
        <f>+M17/L17</f>
        <v>7.5579348782634198E-2</v>
      </c>
      <c r="O17" s="14" t="s">
        <v>165</v>
      </c>
      <c r="P17" s="20" t="s">
        <v>168</v>
      </c>
      <c r="Q17" s="10">
        <v>0.3</v>
      </c>
      <c r="R17" s="458">
        <v>8922.5400000000009</v>
      </c>
      <c r="S17" s="460">
        <v>3182.93</v>
      </c>
      <c r="T17" s="456">
        <v>0.35670000000000002</v>
      </c>
      <c r="U17" s="172"/>
      <c r="V17" s="12">
        <f t="shared" si="0"/>
        <v>0.15668750210444254</v>
      </c>
    </row>
    <row r="18" spans="1:42" ht="192.95" customHeight="1" thickTop="1" thickBot="1" x14ac:dyDescent="0.3">
      <c r="A18" s="7" t="s">
        <v>122</v>
      </c>
      <c r="B18" s="159" t="s">
        <v>169</v>
      </c>
      <c r="C18" s="33">
        <v>2</v>
      </c>
      <c r="D18" s="20" t="s">
        <v>170</v>
      </c>
      <c r="E18" s="12">
        <v>1</v>
      </c>
      <c r="F18" s="149">
        <v>79.31</v>
      </c>
      <c r="G18" s="148">
        <v>49.62</v>
      </c>
      <c r="H18" s="11">
        <f t="shared" si="1"/>
        <v>0.62564619846173242</v>
      </c>
      <c r="I18" s="33">
        <v>14</v>
      </c>
      <c r="J18" s="20">
        <v>7</v>
      </c>
      <c r="K18" s="10">
        <v>0.5</v>
      </c>
      <c r="L18" s="464"/>
      <c r="M18" s="465"/>
      <c r="N18" s="457"/>
      <c r="O18" s="33">
        <v>14</v>
      </c>
      <c r="P18" s="20">
        <v>14</v>
      </c>
      <c r="Q18" s="10">
        <v>1</v>
      </c>
      <c r="R18" s="464"/>
      <c r="S18" s="465"/>
      <c r="T18" s="457"/>
      <c r="U18" s="173"/>
      <c r="V18" s="12">
        <f t="shared" si="0"/>
        <v>0.62564619846173242</v>
      </c>
      <c r="AL18" s="34"/>
      <c r="AP18" s="35"/>
    </row>
    <row r="19" spans="1:42" ht="408.95" customHeight="1" thickTop="1" x14ac:dyDescent="0.25">
      <c r="A19" s="7" t="s">
        <v>122</v>
      </c>
      <c r="B19" s="157" t="s">
        <v>171</v>
      </c>
      <c r="C19" s="14" t="s">
        <v>172</v>
      </c>
      <c r="D19" s="25" t="s">
        <v>173</v>
      </c>
      <c r="E19" s="12">
        <v>0.7</v>
      </c>
      <c r="F19" s="149">
        <v>363.8</v>
      </c>
      <c r="G19" s="148">
        <v>187.1</v>
      </c>
      <c r="H19" s="11">
        <f t="shared" si="1"/>
        <v>0.51429356789444747</v>
      </c>
      <c r="I19" s="14" t="s">
        <v>172</v>
      </c>
      <c r="J19" s="25" t="s">
        <v>174</v>
      </c>
      <c r="K19" s="10">
        <v>0.85</v>
      </c>
      <c r="L19" s="141">
        <v>256</v>
      </c>
      <c r="M19" s="138">
        <v>206.9</v>
      </c>
      <c r="N19" s="10">
        <f>+M19/L19</f>
        <v>0.80820312500000002</v>
      </c>
      <c r="O19" s="14" t="s">
        <v>172</v>
      </c>
      <c r="P19" s="25" t="s">
        <v>175</v>
      </c>
      <c r="Q19" s="10">
        <v>0.6</v>
      </c>
      <c r="R19" s="141">
        <v>1611.45</v>
      </c>
      <c r="S19" s="138">
        <v>203.17</v>
      </c>
      <c r="T19" s="10">
        <v>0.13</v>
      </c>
      <c r="U19" s="10"/>
      <c r="V19" s="12">
        <f t="shared" si="0"/>
        <v>0.48416556429814922</v>
      </c>
      <c r="AP19" s="36"/>
    </row>
    <row r="20" spans="1:42" x14ac:dyDescent="0.25">
      <c r="C20" s="37"/>
      <c r="D20" s="38"/>
      <c r="E20" s="39"/>
      <c r="F20" s="142"/>
      <c r="G20" s="143"/>
      <c r="H20" s="40"/>
      <c r="I20" s="37"/>
      <c r="J20" s="38"/>
      <c r="K20" s="39"/>
      <c r="L20" s="142"/>
      <c r="M20" s="143"/>
      <c r="N20" s="40"/>
      <c r="O20" s="37"/>
      <c r="P20" s="38"/>
      <c r="Q20" s="39"/>
      <c r="R20" s="142"/>
      <c r="S20" s="143"/>
      <c r="T20" s="40"/>
      <c r="U20" s="40"/>
      <c r="V20" s="39"/>
    </row>
    <row r="21" spans="1:42" x14ac:dyDescent="0.25">
      <c r="C21" s="37"/>
      <c r="D21" s="38"/>
      <c r="E21" s="39"/>
      <c r="F21" s="142"/>
      <c r="G21" s="143"/>
      <c r="H21" s="40"/>
      <c r="I21" s="37"/>
      <c r="J21" s="38"/>
      <c r="K21" s="39"/>
      <c r="L21" s="142"/>
      <c r="M21" s="143"/>
      <c r="N21" s="40"/>
      <c r="O21" s="37"/>
      <c r="P21" s="38"/>
      <c r="Q21" s="39"/>
      <c r="R21" s="142"/>
      <c r="S21" s="143"/>
      <c r="T21" s="40"/>
      <c r="U21" s="40"/>
      <c r="V21" s="39"/>
    </row>
    <row r="22" spans="1:42" x14ac:dyDescent="0.25">
      <c r="C22" s="37"/>
      <c r="D22" s="38"/>
      <c r="E22" s="39"/>
      <c r="F22" s="142"/>
      <c r="G22" s="143"/>
      <c r="H22" s="40"/>
      <c r="I22" s="37"/>
      <c r="J22" s="38"/>
      <c r="K22" s="39"/>
      <c r="L22" s="142"/>
      <c r="M22" s="143"/>
      <c r="N22" s="40"/>
      <c r="O22" s="37"/>
      <c r="P22" s="38"/>
      <c r="Q22" s="39"/>
      <c r="R22" s="142"/>
      <c r="S22" s="143"/>
      <c r="T22" s="40"/>
      <c r="U22" s="40"/>
      <c r="V22" s="39"/>
    </row>
    <row r="23" spans="1:42" x14ac:dyDescent="0.25">
      <c r="C23" s="37"/>
      <c r="D23" s="38"/>
      <c r="E23" s="39"/>
      <c r="F23" s="142"/>
      <c r="G23" s="143"/>
      <c r="H23" s="40"/>
      <c r="I23" s="37"/>
      <c r="J23" s="38"/>
      <c r="K23" s="39"/>
      <c r="L23" s="142"/>
      <c r="M23" s="143"/>
      <c r="N23" s="40"/>
      <c r="O23" s="37"/>
      <c r="P23" s="38"/>
      <c r="Q23" s="39"/>
      <c r="R23" s="142"/>
      <c r="S23" s="143"/>
      <c r="T23" s="40"/>
      <c r="U23" s="40"/>
      <c r="V23" s="39"/>
    </row>
    <row r="24" spans="1:42" x14ac:dyDescent="0.25">
      <c r="C24" s="37"/>
      <c r="D24" s="38"/>
      <c r="E24" s="39"/>
      <c r="F24" s="142"/>
      <c r="G24" s="143"/>
      <c r="H24" s="40"/>
      <c r="I24" s="37"/>
      <c r="J24" s="38"/>
      <c r="K24" s="39"/>
      <c r="L24" s="142"/>
      <c r="M24" s="143"/>
      <c r="N24" s="40"/>
      <c r="O24" s="37"/>
      <c r="P24" s="38"/>
      <c r="Q24" s="39"/>
      <c r="R24" s="142"/>
      <c r="S24" s="143"/>
      <c r="T24" s="40"/>
      <c r="U24" s="40"/>
      <c r="V24" s="39"/>
    </row>
    <row r="25" spans="1:42" x14ac:dyDescent="0.25">
      <c r="C25" s="37"/>
      <c r="D25" s="38"/>
      <c r="E25" s="39"/>
      <c r="F25" s="142"/>
      <c r="G25" s="143"/>
      <c r="H25" s="40"/>
      <c r="I25" s="37"/>
      <c r="J25" s="38"/>
      <c r="K25" s="39"/>
      <c r="L25" s="142"/>
      <c r="M25" s="143"/>
      <c r="N25" s="40"/>
      <c r="O25" s="37"/>
      <c r="P25" s="38"/>
      <c r="Q25" s="39"/>
      <c r="R25" s="142"/>
      <c r="S25" s="143"/>
      <c r="T25" s="40"/>
      <c r="U25" s="40"/>
      <c r="V25" s="39"/>
    </row>
  </sheetData>
  <mergeCells count="37">
    <mergeCell ref="A1:V1"/>
    <mergeCell ref="A2:V2"/>
    <mergeCell ref="A3:V3"/>
    <mergeCell ref="C4:H4"/>
    <mergeCell ref="I4:N4"/>
    <mergeCell ref="O4:T4"/>
    <mergeCell ref="U4:V4"/>
    <mergeCell ref="A5:A6"/>
    <mergeCell ref="B5:B6"/>
    <mergeCell ref="C5:E5"/>
    <mergeCell ref="F5:G5"/>
    <mergeCell ref="H5:H6"/>
    <mergeCell ref="V5:V6"/>
    <mergeCell ref="U5:U6"/>
    <mergeCell ref="I5:K5"/>
    <mergeCell ref="L5:M5"/>
    <mergeCell ref="N5:N6"/>
    <mergeCell ref="O5:Q5"/>
    <mergeCell ref="R5:S5"/>
    <mergeCell ref="T5:T6"/>
    <mergeCell ref="R7:R8"/>
    <mergeCell ref="S7:S8"/>
    <mergeCell ref="T7:T8"/>
    <mergeCell ref="L9:L10"/>
    <mergeCell ref="R9:R10"/>
    <mergeCell ref="T17:T18"/>
    <mergeCell ref="L13:L14"/>
    <mergeCell ref="M13:M14"/>
    <mergeCell ref="N13:N14"/>
    <mergeCell ref="R13:R14"/>
    <mergeCell ref="S13:S14"/>
    <mergeCell ref="T13:T14"/>
    <mergeCell ref="L17:L18"/>
    <mergeCell ref="M17:M18"/>
    <mergeCell ref="N17:N18"/>
    <mergeCell ref="R17:R18"/>
    <mergeCell ref="S17:S1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FF472-994D-4F93-A740-97ECF5D72716}">
  <dimension ref="A1:AG5"/>
  <sheetViews>
    <sheetView zoomScale="60" zoomScaleNormal="60" workbookViewId="0">
      <pane ySplit="3" topLeftCell="A4" activePane="bottomLeft" state="frozen"/>
      <selection pane="bottomLeft" activeCell="AB1" sqref="AB1:AG3"/>
    </sheetView>
  </sheetViews>
  <sheetFormatPr baseColWidth="10" defaultColWidth="11.42578125" defaultRowHeight="17.25" x14ac:dyDescent="0.25"/>
  <cols>
    <col min="1" max="1" width="11.42578125" style="264"/>
    <col min="2" max="2" width="12.28515625" style="245" customWidth="1"/>
    <col min="3" max="3" width="42.140625" style="245" customWidth="1"/>
    <col min="4" max="4" width="8.28515625" style="245" hidden="1" customWidth="1"/>
    <col min="5" max="5" width="7.7109375" style="245" hidden="1" customWidth="1"/>
    <col min="6" max="6" width="7.5703125" style="245" hidden="1" customWidth="1"/>
    <col min="7" max="7" width="8.28515625" style="245" hidden="1" customWidth="1"/>
    <col min="8" max="8" width="7.7109375" style="245" hidden="1" customWidth="1"/>
    <col min="9" max="9" width="7.5703125" style="265" hidden="1" customWidth="1"/>
    <col min="10" max="10" width="10.7109375" style="245" hidden="1" customWidth="1"/>
    <col min="11" max="11" width="22.28515625" style="245" hidden="1" customWidth="1"/>
    <col min="12" max="12" width="7.5703125" style="245" hidden="1" customWidth="1"/>
    <col min="13" max="13" width="8.28515625" style="245" hidden="1" customWidth="1"/>
    <col min="14" max="14" width="7.7109375" style="245" hidden="1" customWidth="1"/>
    <col min="15" max="15" width="7.5703125" style="265" hidden="1" customWidth="1"/>
    <col min="16" max="16" width="16.85546875" style="245" hidden="1" customWidth="1"/>
    <col min="17" max="17" width="20.5703125" style="245" hidden="1" customWidth="1"/>
    <col min="18" max="18" width="7.5703125" style="245" hidden="1" customWidth="1"/>
    <col min="19" max="19" width="8.28515625" style="245" hidden="1" customWidth="1"/>
    <col min="20" max="20" width="7.7109375" style="266" hidden="1" customWidth="1"/>
    <col min="21" max="21" width="7.5703125" style="245" hidden="1" customWidth="1"/>
    <col min="22" max="22" width="14" style="245" hidden="1" customWidth="1"/>
    <col min="23" max="23" width="21.28515625" style="245" hidden="1" customWidth="1"/>
    <col min="24" max="24" width="7.7109375" style="245" hidden="1" customWidth="1"/>
    <col min="25" max="25" width="8.28515625" style="267" hidden="1" customWidth="1"/>
    <col min="26" max="26" width="7.7109375" style="267" hidden="1" customWidth="1"/>
    <col min="27" max="27" width="7.5703125" style="245" hidden="1" customWidth="1"/>
    <col min="28" max="28" width="24" style="268" customWidth="1"/>
    <col min="29" max="29" width="19" style="268" customWidth="1"/>
    <col min="30" max="30" width="15" style="245" customWidth="1"/>
    <col min="31" max="31" width="21.28515625" style="245" customWidth="1"/>
    <col min="32" max="32" width="18.42578125" style="245" customWidth="1"/>
    <col min="33" max="33" width="11.5703125" style="245" bestFit="1" customWidth="1"/>
    <col min="34" max="16384" width="11.42578125" style="245"/>
  </cols>
  <sheetData>
    <row r="1" spans="1:33" s="223" customFormat="1" ht="87" customHeight="1" thickBot="1" x14ac:dyDescent="0.3">
      <c r="A1" s="519" t="s">
        <v>206</v>
      </c>
      <c r="B1" s="526"/>
      <c r="C1" s="616"/>
      <c r="D1" s="489">
        <v>2015</v>
      </c>
      <c r="E1" s="489"/>
      <c r="F1" s="489"/>
      <c r="G1" s="489"/>
      <c r="H1" s="489"/>
      <c r="I1" s="490"/>
      <c r="J1" s="489">
        <v>2016</v>
      </c>
      <c r="K1" s="489"/>
      <c r="L1" s="489"/>
      <c r="M1" s="489"/>
      <c r="N1" s="489"/>
      <c r="O1" s="490"/>
      <c r="P1" s="489">
        <v>2017</v>
      </c>
      <c r="Q1" s="489"/>
      <c r="R1" s="489"/>
      <c r="S1" s="489"/>
      <c r="T1" s="489"/>
      <c r="U1" s="490"/>
      <c r="V1" s="489">
        <v>2018</v>
      </c>
      <c r="W1" s="489"/>
      <c r="X1" s="489"/>
      <c r="Y1" s="489"/>
      <c r="Z1" s="489"/>
      <c r="AA1" s="490"/>
      <c r="AB1" s="832" t="s">
        <v>318</v>
      </c>
      <c r="AC1" s="833"/>
      <c r="AD1" s="833"/>
      <c r="AE1" s="833"/>
      <c r="AF1" s="833"/>
      <c r="AG1" s="834"/>
    </row>
    <row r="2" spans="1:33" s="223" customFormat="1" ht="87" customHeight="1" thickBot="1" x14ac:dyDescent="0.3">
      <c r="A2" s="527"/>
      <c r="B2" s="528"/>
      <c r="C2" s="617"/>
      <c r="D2" s="489" t="s">
        <v>6</v>
      </c>
      <c r="E2" s="489"/>
      <c r="F2" s="506"/>
      <c r="G2" s="488" t="s">
        <v>7</v>
      </c>
      <c r="H2" s="489"/>
      <c r="I2" s="490"/>
      <c r="J2" s="505" t="s">
        <v>6</v>
      </c>
      <c r="K2" s="489"/>
      <c r="L2" s="506"/>
      <c r="M2" s="488" t="s">
        <v>7</v>
      </c>
      <c r="N2" s="489"/>
      <c r="O2" s="490"/>
      <c r="P2" s="505" t="s">
        <v>6</v>
      </c>
      <c r="Q2" s="489"/>
      <c r="R2" s="506"/>
      <c r="S2" s="488" t="s">
        <v>7</v>
      </c>
      <c r="T2" s="489"/>
      <c r="U2" s="490"/>
      <c r="V2" s="505" t="s">
        <v>6</v>
      </c>
      <c r="W2" s="489"/>
      <c r="X2" s="506"/>
      <c r="Y2" s="488" t="s">
        <v>7</v>
      </c>
      <c r="Z2" s="489"/>
      <c r="AA2" s="490"/>
      <c r="AB2" s="825" t="s">
        <v>313</v>
      </c>
      <c r="AC2" s="826"/>
      <c r="AD2" s="827"/>
      <c r="AE2" s="842" t="s">
        <v>314</v>
      </c>
      <c r="AF2" s="830"/>
      <c r="AG2" s="831"/>
    </row>
    <row r="3" spans="1:33" s="223" customFormat="1" ht="45.75" customHeight="1" thickBot="1" x14ac:dyDescent="0.3">
      <c r="A3" s="320" t="s">
        <v>9</v>
      </c>
      <c r="B3" s="371" t="s">
        <v>10</v>
      </c>
      <c r="C3" s="372" t="s">
        <v>11</v>
      </c>
      <c r="D3" s="226" t="s">
        <v>177</v>
      </c>
      <c r="E3" s="227" t="s">
        <v>178</v>
      </c>
      <c r="F3" s="228" t="s">
        <v>179</v>
      </c>
      <c r="G3" s="226" t="s">
        <v>177</v>
      </c>
      <c r="H3" s="227" t="s">
        <v>178</v>
      </c>
      <c r="I3" s="229" t="s">
        <v>179</v>
      </c>
      <c r="J3" s="226" t="s">
        <v>177</v>
      </c>
      <c r="K3" s="227" t="s">
        <v>178</v>
      </c>
      <c r="L3" s="228" t="s">
        <v>179</v>
      </c>
      <c r="M3" s="226" t="s">
        <v>177</v>
      </c>
      <c r="N3" s="227" t="s">
        <v>178</v>
      </c>
      <c r="O3" s="229" t="s">
        <v>179</v>
      </c>
      <c r="P3" s="226" t="s">
        <v>177</v>
      </c>
      <c r="Q3" s="227" t="s">
        <v>178</v>
      </c>
      <c r="R3" s="228" t="s">
        <v>179</v>
      </c>
      <c r="S3" s="226" t="s">
        <v>177</v>
      </c>
      <c r="T3" s="227" t="s">
        <v>178</v>
      </c>
      <c r="U3" s="228" t="s">
        <v>179</v>
      </c>
      <c r="V3" s="226" t="s">
        <v>177</v>
      </c>
      <c r="W3" s="227" t="s">
        <v>178</v>
      </c>
      <c r="X3" s="228" t="s">
        <v>179</v>
      </c>
      <c r="Y3" s="226" t="s">
        <v>177</v>
      </c>
      <c r="Z3" s="227" t="s">
        <v>178</v>
      </c>
      <c r="AA3" s="229" t="s">
        <v>179</v>
      </c>
      <c r="AB3" s="868" t="s">
        <v>177</v>
      </c>
      <c r="AC3" s="823" t="s">
        <v>178</v>
      </c>
      <c r="AD3" s="841" t="s">
        <v>179</v>
      </c>
      <c r="AE3" s="919" t="s">
        <v>177</v>
      </c>
      <c r="AF3" s="823" t="s">
        <v>178</v>
      </c>
      <c r="AG3" s="841" t="s">
        <v>179</v>
      </c>
    </row>
    <row r="4" spans="1:33" s="366" customFormat="1" ht="131.25" customHeight="1" x14ac:dyDescent="0.25">
      <c r="A4" s="233" t="s">
        <v>20</v>
      </c>
      <c r="B4" s="618" t="s">
        <v>90</v>
      </c>
      <c r="C4" s="619" t="s">
        <v>101</v>
      </c>
      <c r="D4" s="620">
        <v>25</v>
      </c>
      <c r="E4" s="621">
        <v>14</v>
      </c>
      <c r="F4" s="622">
        <f t="shared" ref="F4" si="0">+E4/D4</f>
        <v>0.56000000000000005</v>
      </c>
      <c r="G4" s="621">
        <v>0</v>
      </c>
      <c r="H4" s="621">
        <v>0</v>
      </c>
      <c r="I4" s="623">
        <v>0</v>
      </c>
      <c r="J4" s="624">
        <v>25</v>
      </c>
      <c r="K4" s="625">
        <v>15</v>
      </c>
      <c r="L4" s="626">
        <f t="shared" ref="L4" si="1">+K4/J4</f>
        <v>0.6</v>
      </c>
      <c r="M4" s="625">
        <v>18.5</v>
      </c>
      <c r="N4" s="625">
        <v>13.5</v>
      </c>
      <c r="O4" s="627">
        <f t="shared" ref="O4" si="2">+N4/M4</f>
        <v>0.72972972972972971</v>
      </c>
      <c r="P4" s="628">
        <v>0.25</v>
      </c>
      <c r="Q4" s="629">
        <v>0.20250000000000001</v>
      </c>
      <c r="R4" s="630">
        <f>+Q4/P4</f>
        <v>0.81</v>
      </c>
      <c r="S4" s="625">
        <v>892.4</v>
      </c>
      <c r="T4" s="625">
        <v>541.29999999999995</v>
      </c>
      <c r="U4" s="627">
        <f t="shared" ref="U4" si="3">T4/S4</f>
        <v>0.60656656207978477</v>
      </c>
      <c r="V4" s="624">
        <v>25</v>
      </c>
      <c r="W4" s="629">
        <v>0.2</v>
      </c>
      <c r="X4" s="631">
        <v>0.8</v>
      </c>
      <c r="Y4" s="632">
        <v>78.61</v>
      </c>
      <c r="Z4" s="632">
        <v>17.72</v>
      </c>
      <c r="AA4" s="633">
        <v>0.22541661366238391</v>
      </c>
      <c r="AB4" s="929">
        <v>100</v>
      </c>
      <c r="AC4" s="930">
        <v>81</v>
      </c>
      <c r="AD4" s="931">
        <v>0.81</v>
      </c>
      <c r="AE4" s="932">
        <f>++M4+S4+Y4</f>
        <v>989.51</v>
      </c>
      <c r="AF4" s="933">
        <f>+N4+T4+Z4</f>
        <v>572.52</v>
      </c>
      <c r="AG4" s="934">
        <f>AVERAGE(U4,O4,I4)</f>
        <v>0.44543209726983818</v>
      </c>
    </row>
    <row r="5" spans="1:33" s="366" customFormat="1" ht="144.75" thickBot="1" x14ac:dyDescent="0.3">
      <c r="A5" s="250" t="s">
        <v>20</v>
      </c>
      <c r="B5" s="922" t="s">
        <v>90</v>
      </c>
      <c r="C5" s="923" t="s">
        <v>104</v>
      </c>
      <c r="D5" s="924">
        <v>25</v>
      </c>
      <c r="E5" s="925">
        <v>0</v>
      </c>
      <c r="F5" s="344">
        <v>0</v>
      </c>
      <c r="G5" s="925"/>
      <c r="H5" s="925"/>
      <c r="I5" s="926" t="s">
        <v>205</v>
      </c>
      <c r="J5" s="924" t="s">
        <v>105</v>
      </c>
      <c r="K5" s="925" t="s">
        <v>106</v>
      </c>
      <c r="L5" s="345" t="s">
        <v>205</v>
      </c>
      <c r="M5" s="347">
        <v>42.7</v>
      </c>
      <c r="N5" s="347">
        <v>17.3</v>
      </c>
      <c r="O5" s="346">
        <v>0.40515222482435598</v>
      </c>
      <c r="P5" s="927" t="s">
        <v>107</v>
      </c>
      <c r="Q5" s="928" t="s">
        <v>108</v>
      </c>
      <c r="R5" s="345">
        <v>0.75</v>
      </c>
      <c r="S5" s="347">
        <v>7.9</v>
      </c>
      <c r="T5" s="347">
        <v>4.9000000000000004</v>
      </c>
      <c r="U5" s="346">
        <v>0.620253164556962</v>
      </c>
      <c r="V5" s="924" t="s">
        <v>105</v>
      </c>
      <c r="W5" s="925" t="s">
        <v>109</v>
      </c>
      <c r="X5" s="869">
        <v>0.75</v>
      </c>
      <c r="Y5" s="348">
        <v>30.8</v>
      </c>
      <c r="Z5" s="348">
        <v>3.39</v>
      </c>
      <c r="AA5" s="349">
        <v>0.11006493506493506</v>
      </c>
      <c r="AB5" s="935" t="s">
        <v>105</v>
      </c>
      <c r="AC5" s="936" t="s">
        <v>109</v>
      </c>
      <c r="AD5" s="937">
        <v>0.75</v>
      </c>
      <c r="AE5" s="938">
        <f>+G5+M5+S5+Y5</f>
        <v>81.400000000000006</v>
      </c>
      <c r="AF5" s="939">
        <f>+H5+N5+T5+Z5</f>
        <v>25.590000000000003</v>
      </c>
      <c r="AG5" s="937">
        <f>+AF5/AE5</f>
        <v>0.31437346437346442</v>
      </c>
    </row>
  </sheetData>
  <mergeCells count="16">
    <mergeCell ref="G2:I2"/>
    <mergeCell ref="J2:L2"/>
    <mergeCell ref="AB1:AG1"/>
    <mergeCell ref="AB2:AD2"/>
    <mergeCell ref="AE2:AG2"/>
    <mergeCell ref="V1:AA1"/>
    <mergeCell ref="V2:X2"/>
    <mergeCell ref="Y2:AA2"/>
    <mergeCell ref="M2:O2"/>
    <mergeCell ref="P2:R2"/>
    <mergeCell ref="S2:U2"/>
    <mergeCell ref="A1:C2"/>
    <mergeCell ref="D1:I1"/>
    <mergeCell ref="J1:O1"/>
    <mergeCell ref="P1:U1"/>
    <mergeCell ref="D2:F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B855B-0027-4CC2-81C9-86E516F01B2B}">
  <dimension ref="A1:Z11"/>
  <sheetViews>
    <sheetView topLeftCell="B1" zoomScaleNormal="100" zoomScaleSheetLayoutView="102" workbookViewId="0">
      <pane ySplit="3" topLeftCell="A4" activePane="bottomLeft" state="frozen"/>
      <selection pane="bottomLeft" activeCell="R4" sqref="R4:R5"/>
    </sheetView>
  </sheetViews>
  <sheetFormatPr baseColWidth="10" defaultColWidth="10.85546875" defaultRowHeight="19.5" x14ac:dyDescent="0.25"/>
  <cols>
    <col min="1" max="1" width="19.85546875" style="245" customWidth="1"/>
    <col min="2" max="2" width="32" style="271" customWidth="1"/>
    <col min="3" max="3" width="8.42578125" style="389" bestFit="1" customWidth="1"/>
    <col min="4" max="4" width="6" style="264" bestFit="1" customWidth="1"/>
    <col min="5" max="5" width="7.42578125" style="390" bestFit="1" customWidth="1"/>
    <col min="6" max="6" width="6.5703125" style="391" bestFit="1" customWidth="1"/>
    <col min="7" max="7" width="6" style="392" bestFit="1" customWidth="1"/>
    <col min="8" max="8" width="6.28515625" style="393" bestFit="1" customWidth="1"/>
    <col min="9" max="9" width="8.42578125" style="389" bestFit="1" customWidth="1"/>
    <col min="10" max="10" width="18.28515625" style="264" bestFit="1" customWidth="1"/>
    <col min="11" max="11" width="7.42578125" style="390" bestFit="1" customWidth="1"/>
    <col min="12" max="12" width="7" style="391" bestFit="1" customWidth="1"/>
    <col min="13" max="13" width="6" style="392" bestFit="1" customWidth="1"/>
    <col min="14" max="14" width="6.28515625" style="393" bestFit="1" customWidth="1"/>
    <col min="15" max="15" width="8.42578125" style="389" bestFit="1" customWidth="1"/>
    <col min="16" max="16" width="7.140625" style="264" bestFit="1" customWidth="1"/>
    <col min="17" max="17" width="6.28515625" style="390" bestFit="1" customWidth="1"/>
    <col min="18" max="18" width="7" style="391" bestFit="1" customWidth="1"/>
    <col min="19" max="19" width="7" style="392" bestFit="1" customWidth="1"/>
    <col min="20" max="20" width="6.28515625" style="393" bestFit="1" customWidth="1"/>
    <col min="21" max="21" width="8.28515625" style="393" customWidth="1"/>
    <col min="22" max="22" width="8.28515625" style="390" customWidth="1"/>
    <col min="23" max="23" width="13.42578125" style="245" customWidth="1"/>
    <col min="24" max="24" width="6.85546875" style="245" customWidth="1"/>
    <col min="25" max="25" width="4.7109375" style="245" customWidth="1"/>
    <col min="26" max="26" width="6.42578125" style="245" customWidth="1"/>
    <col min="27" max="27" width="5.7109375" style="245" customWidth="1"/>
    <col min="28" max="28" width="4.7109375" style="245" customWidth="1"/>
    <col min="29" max="30" width="6.140625" style="245" customWidth="1"/>
    <col min="31" max="31" width="7.140625" style="245" customWidth="1"/>
    <col min="32" max="33" width="10.85546875" style="245"/>
    <col min="34" max="34" width="20.7109375" style="245" customWidth="1"/>
    <col min="35" max="35" width="10.85546875" style="245"/>
    <col min="36" max="36" width="11.140625" style="245" bestFit="1" customWidth="1"/>
    <col min="37" max="37" width="11" style="245" bestFit="1" customWidth="1"/>
    <col min="38" max="38" width="22.85546875" style="245" customWidth="1"/>
    <col min="39" max="39" width="10.85546875" style="245"/>
    <col min="40" max="41" width="11" style="245" bestFit="1" customWidth="1"/>
    <col min="42" max="42" width="26.42578125" style="245" customWidth="1"/>
    <col min="43" max="43" width="10.85546875" style="245"/>
    <col min="44" max="45" width="11" style="245" bestFit="1" customWidth="1"/>
    <col min="46" max="16384" width="10.85546875" style="245"/>
  </cols>
  <sheetData>
    <row r="1" spans="1:26" ht="21.75" customHeight="1" thickBot="1" x14ac:dyDescent="0.3">
      <c r="A1" s="569" t="s">
        <v>196</v>
      </c>
      <c r="B1" s="569"/>
      <c r="C1" s="489">
        <v>2016</v>
      </c>
      <c r="D1" s="489"/>
      <c r="E1" s="489"/>
      <c r="F1" s="489"/>
      <c r="G1" s="489"/>
      <c r="H1" s="489"/>
      <c r="I1" s="489">
        <v>2017</v>
      </c>
      <c r="J1" s="489"/>
      <c r="K1" s="489"/>
      <c r="L1" s="489"/>
      <c r="M1" s="489"/>
      <c r="N1" s="489"/>
      <c r="O1" s="489">
        <v>2018</v>
      </c>
      <c r="P1" s="489"/>
      <c r="Q1" s="489"/>
      <c r="R1" s="489"/>
      <c r="S1" s="489"/>
      <c r="T1" s="489"/>
      <c r="U1" s="832" t="s">
        <v>318</v>
      </c>
      <c r="V1" s="833"/>
      <c r="W1" s="833"/>
      <c r="X1" s="833"/>
      <c r="Y1" s="833"/>
      <c r="Z1" s="834"/>
    </row>
    <row r="2" spans="1:26" s="268" customFormat="1" ht="48" customHeight="1" thickBot="1" x14ac:dyDescent="0.3">
      <c r="A2" s="570"/>
      <c r="B2" s="570"/>
      <c r="C2" s="505" t="s">
        <v>6</v>
      </c>
      <c r="D2" s="489"/>
      <c r="E2" s="506"/>
      <c r="F2" s="505" t="s">
        <v>7</v>
      </c>
      <c r="G2" s="489"/>
      <c r="H2" s="490"/>
      <c r="I2" s="505" t="s">
        <v>6</v>
      </c>
      <c r="J2" s="489"/>
      <c r="K2" s="506"/>
      <c r="L2" s="505" t="s">
        <v>7</v>
      </c>
      <c r="M2" s="489"/>
      <c r="N2" s="490"/>
      <c r="O2" s="505" t="s">
        <v>6</v>
      </c>
      <c r="P2" s="489"/>
      <c r="Q2" s="506"/>
      <c r="R2" s="505" t="s">
        <v>7</v>
      </c>
      <c r="S2" s="489"/>
      <c r="T2" s="490"/>
      <c r="U2" s="825" t="s">
        <v>313</v>
      </c>
      <c r="V2" s="826"/>
      <c r="W2" s="827"/>
      <c r="X2" s="842" t="s">
        <v>314</v>
      </c>
      <c r="Y2" s="830"/>
      <c r="Z2" s="831"/>
    </row>
    <row r="3" spans="1:26" s="376" customFormat="1" ht="61.5" thickBot="1" x14ac:dyDescent="0.3">
      <c r="A3" s="225" t="s">
        <v>10</v>
      </c>
      <c r="B3" s="374" t="s">
        <v>11</v>
      </c>
      <c r="C3" s="224" t="s">
        <v>177</v>
      </c>
      <c r="D3" s="350" t="s">
        <v>178</v>
      </c>
      <c r="E3" s="351" t="s">
        <v>179</v>
      </c>
      <c r="F3" s="224" t="s">
        <v>177</v>
      </c>
      <c r="G3" s="350" t="s">
        <v>178</v>
      </c>
      <c r="H3" s="352" t="s">
        <v>179</v>
      </c>
      <c r="I3" s="224" t="s">
        <v>177</v>
      </c>
      <c r="J3" s="350" t="s">
        <v>178</v>
      </c>
      <c r="K3" s="351" t="s">
        <v>179</v>
      </c>
      <c r="L3" s="224" t="s">
        <v>177</v>
      </c>
      <c r="M3" s="350" t="s">
        <v>178</v>
      </c>
      <c r="N3" s="352" t="s">
        <v>179</v>
      </c>
      <c r="O3" s="224" t="s">
        <v>177</v>
      </c>
      <c r="P3" s="350" t="s">
        <v>178</v>
      </c>
      <c r="Q3" s="351" t="s">
        <v>179</v>
      </c>
      <c r="R3" s="224" t="s">
        <v>177</v>
      </c>
      <c r="S3" s="350" t="s">
        <v>178</v>
      </c>
      <c r="T3" s="352" t="s">
        <v>179</v>
      </c>
      <c r="U3" s="868" t="s">
        <v>177</v>
      </c>
      <c r="V3" s="823" t="s">
        <v>178</v>
      </c>
      <c r="W3" s="841" t="s">
        <v>179</v>
      </c>
      <c r="X3" s="919" t="s">
        <v>177</v>
      </c>
      <c r="Y3" s="823" t="s">
        <v>178</v>
      </c>
      <c r="Z3" s="841" t="s">
        <v>179</v>
      </c>
    </row>
    <row r="4" spans="1:26" s="223" customFormat="1" ht="130.5" customHeight="1" x14ac:dyDescent="0.25">
      <c r="A4" s="394" t="s">
        <v>192</v>
      </c>
      <c r="B4" s="634" t="s">
        <v>123</v>
      </c>
      <c r="C4" s="395">
        <v>0.85</v>
      </c>
      <c r="D4" s="396">
        <v>0.98</v>
      </c>
      <c r="E4" s="397">
        <v>1.2</v>
      </c>
      <c r="F4" s="399">
        <v>130</v>
      </c>
      <c r="G4" s="399">
        <v>80.3</v>
      </c>
      <c r="H4" s="398">
        <f>+G4/F4</f>
        <v>0.61769230769230765</v>
      </c>
      <c r="I4" s="395">
        <v>0.85</v>
      </c>
      <c r="J4" s="396">
        <v>0.95</v>
      </c>
      <c r="K4" s="397">
        <v>1.1200000000000001</v>
      </c>
      <c r="L4" s="399">
        <v>114.5</v>
      </c>
      <c r="M4" s="399">
        <v>61.3</v>
      </c>
      <c r="N4" s="400">
        <f>+M4/L4</f>
        <v>0.53537117903930131</v>
      </c>
      <c r="O4" s="395">
        <v>0.85</v>
      </c>
      <c r="P4" s="396">
        <v>0.95</v>
      </c>
      <c r="Q4" s="397">
        <v>0.95</v>
      </c>
      <c r="R4" s="565">
        <v>224.2</v>
      </c>
      <c r="S4" s="565">
        <v>153.6</v>
      </c>
      <c r="T4" s="567">
        <f>+S4/R4</f>
        <v>0.68510258697591442</v>
      </c>
      <c r="U4" s="940">
        <f>+C4</f>
        <v>0.85</v>
      </c>
      <c r="W4" s="378">
        <f>AVERAGE(E4,K4,Q4)</f>
        <v>1.0900000000000001</v>
      </c>
      <c r="Z4" s="378">
        <f>AVERAGE(H4,N4,T4)</f>
        <v>0.61272202456917446</v>
      </c>
    </row>
    <row r="5" spans="1:26" s="223" customFormat="1" ht="113.25" customHeight="1" thickBot="1" x14ac:dyDescent="0.3">
      <c r="A5" s="394" t="s">
        <v>192</v>
      </c>
      <c r="B5" s="634" t="s">
        <v>124</v>
      </c>
      <c r="C5" s="401">
        <v>-0.05</v>
      </c>
      <c r="D5" s="402">
        <v>-4.4999999999999998E-2</v>
      </c>
      <c r="E5" s="403">
        <v>0.9</v>
      </c>
      <c r="F5" s="408">
        <v>0</v>
      </c>
      <c r="G5" s="408">
        <v>0</v>
      </c>
      <c r="H5" s="404">
        <v>0</v>
      </c>
      <c r="I5" s="401">
        <v>-0.05</v>
      </c>
      <c r="J5" s="405" t="s">
        <v>191</v>
      </c>
      <c r="K5" s="406">
        <v>0.73799999999999999</v>
      </c>
      <c r="L5" s="408"/>
      <c r="M5" s="408">
        <v>0</v>
      </c>
      <c r="N5" s="404">
        <v>0</v>
      </c>
      <c r="O5" s="401">
        <v>-0.05</v>
      </c>
      <c r="P5" s="407">
        <v>-4.5999999999999999E-2</v>
      </c>
      <c r="Q5" s="406">
        <v>0.92</v>
      </c>
      <c r="R5" s="566"/>
      <c r="S5" s="566"/>
      <c r="T5" s="568"/>
      <c r="W5" s="378">
        <f>AVERAGE(E5,K5,Q5)</f>
        <v>0.85266666666666657</v>
      </c>
      <c r="Z5" s="378">
        <f>AVERAGE(H5,N5,T5)</f>
        <v>0</v>
      </c>
    </row>
    <row r="6" spans="1:26" x14ac:dyDescent="0.25">
      <c r="C6" s="383"/>
      <c r="D6" s="384"/>
      <c r="E6" s="385"/>
      <c r="F6" s="386"/>
      <c r="G6" s="387"/>
      <c r="H6" s="388"/>
      <c r="I6" s="383"/>
      <c r="J6" s="384"/>
      <c r="K6" s="385"/>
      <c r="L6" s="386"/>
      <c r="M6" s="387"/>
      <c r="N6" s="388"/>
      <c r="O6" s="383"/>
      <c r="P6" s="384"/>
      <c r="Q6" s="385"/>
      <c r="R6" s="386"/>
      <c r="S6" s="387"/>
      <c r="T6" s="388"/>
      <c r="U6" s="388"/>
      <c r="V6" s="385"/>
    </row>
    <row r="7" spans="1:26" x14ac:dyDescent="0.25">
      <c r="C7" s="383"/>
      <c r="D7" s="384"/>
      <c r="E7" s="385"/>
      <c r="F7" s="386"/>
      <c r="G7" s="387"/>
      <c r="H7" s="388"/>
      <c r="I7" s="383"/>
      <c r="J7" s="384"/>
      <c r="K7" s="385"/>
      <c r="L7" s="386"/>
      <c r="M7" s="387"/>
      <c r="N7" s="388"/>
      <c r="O7" s="383"/>
      <c r="P7" s="384"/>
      <c r="Q7" s="385"/>
      <c r="R7" s="386"/>
      <c r="S7" s="387"/>
      <c r="T7" s="388"/>
      <c r="U7" s="388"/>
      <c r="V7" s="385"/>
    </row>
    <row r="8" spans="1:26" x14ac:dyDescent="0.25">
      <c r="C8" s="383"/>
      <c r="D8" s="384"/>
      <c r="E8" s="385"/>
      <c r="F8" s="386"/>
      <c r="G8" s="387"/>
      <c r="H8" s="388"/>
      <c r="I8" s="383"/>
      <c r="J8" s="384"/>
      <c r="K8" s="385"/>
      <c r="L8" s="386"/>
      <c r="M8" s="387"/>
      <c r="N8" s="388"/>
      <c r="O8" s="383"/>
      <c r="P8" s="384"/>
      <c r="Q8" s="385"/>
      <c r="R8" s="386"/>
      <c r="S8" s="387"/>
      <c r="T8" s="388"/>
      <c r="U8" s="388"/>
      <c r="V8" s="385"/>
    </row>
    <row r="9" spans="1:26" x14ac:dyDescent="0.25">
      <c r="C9" s="383"/>
      <c r="D9" s="384"/>
      <c r="E9" s="385"/>
      <c r="F9" s="386"/>
      <c r="G9" s="387"/>
      <c r="H9" s="388"/>
      <c r="I9" s="383"/>
      <c r="J9" s="384"/>
      <c r="K9" s="385"/>
      <c r="L9" s="386"/>
      <c r="M9" s="387"/>
      <c r="N9" s="388"/>
      <c r="O9" s="383"/>
      <c r="P9" s="384"/>
      <c r="Q9" s="385"/>
      <c r="R9" s="386"/>
      <c r="S9" s="387"/>
      <c r="T9" s="388"/>
      <c r="U9" s="388"/>
      <c r="V9" s="385"/>
    </row>
    <row r="10" spans="1:26" x14ac:dyDescent="0.25">
      <c r="C10" s="383"/>
      <c r="D10" s="384"/>
      <c r="E10" s="385"/>
      <c r="F10" s="386"/>
      <c r="G10" s="387"/>
      <c r="H10" s="388"/>
      <c r="I10" s="383"/>
      <c r="J10" s="384"/>
      <c r="K10" s="385"/>
      <c r="L10" s="386"/>
      <c r="M10" s="387"/>
      <c r="N10" s="388"/>
      <c r="O10" s="383"/>
      <c r="P10" s="384"/>
      <c r="Q10" s="385"/>
      <c r="R10" s="386"/>
      <c r="S10" s="387"/>
      <c r="T10" s="388"/>
      <c r="U10" s="388"/>
      <c r="V10" s="385"/>
    </row>
    <row r="11" spans="1:26" x14ac:dyDescent="0.25">
      <c r="C11" s="383"/>
      <c r="D11" s="384"/>
      <c r="E11" s="385"/>
      <c r="F11" s="386"/>
      <c r="G11" s="387"/>
      <c r="H11" s="388"/>
      <c r="I11" s="383"/>
      <c r="J11" s="384"/>
      <c r="K11" s="385"/>
      <c r="L11" s="386"/>
      <c r="M11" s="387"/>
      <c r="N11" s="388"/>
      <c r="O11" s="383"/>
      <c r="P11" s="384"/>
      <c r="Q11" s="385"/>
      <c r="R11" s="386"/>
      <c r="S11" s="387"/>
      <c r="T11" s="388"/>
      <c r="U11" s="388"/>
      <c r="V11" s="385"/>
    </row>
  </sheetData>
  <mergeCells count="16">
    <mergeCell ref="R4:R5"/>
    <mergeCell ref="S4:S5"/>
    <mergeCell ref="T4:T5"/>
    <mergeCell ref="O2:Q2"/>
    <mergeCell ref="A1:B2"/>
    <mergeCell ref="F2:H2"/>
    <mergeCell ref="L2:N2"/>
    <mergeCell ref="R2:T2"/>
    <mergeCell ref="I2:K2"/>
    <mergeCell ref="C1:H1"/>
    <mergeCell ref="I1:N1"/>
    <mergeCell ref="O1:T1"/>
    <mergeCell ref="C2:E2"/>
    <mergeCell ref="U1:Z1"/>
    <mergeCell ref="U2:W2"/>
    <mergeCell ref="X2:Z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AF81A-415A-4D8F-9D47-B6F1CFE86CD0}">
  <dimension ref="A1:W11"/>
  <sheetViews>
    <sheetView zoomScale="90" zoomScaleNormal="90" zoomScaleSheetLayoutView="102" workbookViewId="0">
      <pane xSplit="2" ySplit="3" topLeftCell="C5" activePane="bottomRight" state="frozen"/>
      <selection pane="topRight" activeCell="C1" sqref="C1"/>
      <selection pane="bottomLeft" activeCell="A7" sqref="A7"/>
      <selection pane="bottomRight" activeCell="A5" sqref="A5"/>
    </sheetView>
  </sheetViews>
  <sheetFormatPr baseColWidth="10" defaultColWidth="10.85546875" defaultRowHeight="20.25" x14ac:dyDescent="0.25"/>
  <cols>
    <col min="1" max="1" width="15" style="1" customWidth="1"/>
    <col min="2" max="2" width="34.28515625" style="161" customWidth="1"/>
    <col min="3" max="3" width="8.85546875" style="41" customWidth="1"/>
    <col min="4" max="4" width="13.5703125" style="42" bestFit="1" customWidth="1"/>
    <col min="5" max="5" width="7.42578125" style="193" bestFit="1" customWidth="1"/>
    <col min="6" max="6" width="8.5703125" style="144" bestFit="1" customWidth="1"/>
    <col min="7" max="7" width="8.5703125" style="145" bestFit="1" customWidth="1"/>
    <col min="8" max="8" width="6.28515625" style="44" bestFit="1" customWidth="1"/>
    <col min="9" max="9" width="15.42578125" style="41" customWidth="1"/>
    <col min="10" max="10" width="18.7109375" style="42" customWidth="1"/>
    <col min="11" max="11" width="10.7109375" style="193" customWidth="1"/>
    <col min="12" max="12" width="9.42578125" style="144" customWidth="1"/>
    <col min="13" max="13" width="8.7109375" style="145" customWidth="1"/>
    <col min="14" max="14" width="12.42578125" style="44" customWidth="1"/>
    <col min="15" max="15" width="10.7109375" style="41" customWidth="1"/>
    <col min="16" max="16" width="19.28515625" style="42" customWidth="1"/>
    <col min="17" max="17" width="10.7109375" style="193" customWidth="1"/>
    <col min="18" max="18" width="12" style="144" customWidth="1"/>
    <col min="19" max="19" width="12.7109375" style="145" customWidth="1"/>
    <col min="20" max="20" width="12.42578125" style="44" customWidth="1"/>
    <col min="21" max="21" width="9" style="44" customWidth="1"/>
    <col min="22" max="22" width="15.42578125" style="193" customWidth="1"/>
    <col min="23" max="23" width="13.42578125" style="1" customWidth="1"/>
    <col min="24" max="24" width="6.85546875" style="1" customWidth="1"/>
    <col min="25" max="25" width="4.7109375" style="1" customWidth="1"/>
    <col min="26" max="26" width="6.42578125" style="1" customWidth="1"/>
    <col min="27" max="27" width="5.7109375" style="1" customWidth="1"/>
    <col min="28" max="28" width="4.7109375" style="1" customWidth="1"/>
    <col min="29" max="30" width="6.140625" style="1" customWidth="1"/>
    <col min="31" max="31" width="7.140625" style="1" customWidth="1"/>
    <col min="32" max="33" width="10.85546875" style="1"/>
    <col min="34" max="34" width="20.7109375" style="1" customWidth="1"/>
    <col min="35" max="35" width="10.85546875" style="1"/>
    <col min="36" max="36" width="11.140625" style="1" bestFit="1" customWidth="1"/>
    <col min="37" max="37" width="11" style="1" bestFit="1" customWidth="1"/>
    <col min="38" max="38" width="22.85546875" style="1" customWidth="1"/>
    <col min="39" max="39" width="10.85546875" style="1"/>
    <col min="40" max="41" width="11" style="1" bestFit="1" customWidth="1"/>
    <col min="42" max="42" width="26.42578125" style="1" customWidth="1"/>
    <col min="43" max="43" width="10.85546875" style="1"/>
    <col min="44" max="45" width="11" style="1" bestFit="1" customWidth="1"/>
    <col min="46" max="16384" width="10.85546875" style="1"/>
  </cols>
  <sheetData>
    <row r="1" spans="1:23" ht="44.25" customHeight="1" thickBot="1" x14ac:dyDescent="0.3">
      <c r="A1" s="577" t="s">
        <v>197</v>
      </c>
      <c r="B1" s="578"/>
      <c r="C1" s="581">
        <v>2016</v>
      </c>
      <c r="D1" s="582"/>
      <c r="E1" s="582"/>
      <c r="F1" s="582"/>
      <c r="G1" s="582"/>
      <c r="H1" s="583"/>
      <c r="I1" s="581">
        <v>2017</v>
      </c>
      <c r="J1" s="582"/>
      <c r="K1" s="582"/>
      <c r="L1" s="582"/>
      <c r="M1" s="582"/>
      <c r="N1" s="583"/>
      <c r="O1" s="581">
        <v>2018</v>
      </c>
      <c r="P1" s="582"/>
      <c r="Q1" s="582"/>
      <c r="R1" s="582"/>
      <c r="S1" s="582"/>
      <c r="T1" s="583"/>
      <c r="U1" s="584" t="s">
        <v>4</v>
      </c>
      <c r="V1" s="585"/>
      <c r="W1" s="3"/>
    </row>
    <row r="2" spans="1:23" s="3" customFormat="1" ht="44.25" customHeight="1" thickBot="1" x14ac:dyDescent="0.3">
      <c r="A2" s="579"/>
      <c r="B2" s="580"/>
      <c r="C2" s="586" t="s">
        <v>6</v>
      </c>
      <c r="D2" s="587"/>
      <c r="E2" s="587"/>
      <c r="F2" s="571" t="s">
        <v>7</v>
      </c>
      <c r="G2" s="572"/>
      <c r="H2" s="573"/>
      <c r="I2" s="586" t="s">
        <v>6</v>
      </c>
      <c r="J2" s="587"/>
      <c r="K2" s="587"/>
      <c r="L2" s="571" t="s">
        <v>7</v>
      </c>
      <c r="M2" s="572"/>
      <c r="N2" s="573"/>
      <c r="O2" s="586" t="s">
        <v>6</v>
      </c>
      <c r="P2" s="587"/>
      <c r="Q2" s="587"/>
      <c r="R2" s="571" t="s">
        <v>7</v>
      </c>
      <c r="S2" s="572"/>
      <c r="T2" s="573"/>
      <c r="U2" s="574" t="s">
        <v>8</v>
      </c>
      <c r="V2" s="575"/>
      <c r="W2" s="4"/>
    </row>
    <row r="3" spans="1:23" s="6" customFormat="1" ht="46.5" customHeight="1" thickBot="1" x14ac:dyDescent="0.3">
      <c r="A3" s="176" t="s">
        <v>10</v>
      </c>
      <c r="B3" s="201" t="s">
        <v>11</v>
      </c>
      <c r="C3" s="177" t="s">
        <v>177</v>
      </c>
      <c r="D3" s="178" t="s">
        <v>178</v>
      </c>
      <c r="E3" s="179" t="s">
        <v>179</v>
      </c>
      <c r="F3" s="177" t="s">
        <v>177</v>
      </c>
      <c r="G3" s="178" t="s">
        <v>178</v>
      </c>
      <c r="H3" s="180" t="s">
        <v>179</v>
      </c>
      <c r="I3" s="177" t="s">
        <v>177</v>
      </c>
      <c r="J3" s="178" t="s">
        <v>178</v>
      </c>
      <c r="K3" s="179" t="s">
        <v>179</v>
      </c>
      <c r="L3" s="177" t="s">
        <v>177</v>
      </c>
      <c r="M3" s="178" t="s">
        <v>178</v>
      </c>
      <c r="N3" s="180" t="s">
        <v>179</v>
      </c>
      <c r="O3" s="177" t="s">
        <v>177</v>
      </c>
      <c r="P3" s="178" t="s">
        <v>178</v>
      </c>
      <c r="Q3" s="179" t="s">
        <v>179</v>
      </c>
      <c r="R3" s="177" t="s">
        <v>177</v>
      </c>
      <c r="S3" s="178" t="s">
        <v>178</v>
      </c>
      <c r="T3" s="180" t="s">
        <v>179</v>
      </c>
      <c r="U3" s="204" t="s">
        <v>18</v>
      </c>
      <c r="V3" s="208" t="s">
        <v>19</v>
      </c>
      <c r="W3" s="5"/>
    </row>
    <row r="4" spans="1:23" s="282" customFormat="1" ht="224.25" customHeight="1" thickTop="1" thickBot="1" x14ac:dyDescent="0.3">
      <c r="A4" s="297" t="s">
        <v>192</v>
      </c>
      <c r="B4" s="298" t="s">
        <v>180</v>
      </c>
      <c r="C4" s="299">
        <v>1</v>
      </c>
      <c r="D4" s="300">
        <v>1</v>
      </c>
      <c r="E4" s="301">
        <v>1</v>
      </c>
      <c r="F4" s="302">
        <v>0.5</v>
      </c>
      <c r="G4" s="303">
        <v>0.46</v>
      </c>
      <c r="H4" s="304">
        <f>+G4/F4</f>
        <v>0.92</v>
      </c>
      <c r="I4" s="305">
        <v>1</v>
      </c>
      <c r="J4" s="300">
        <v>1</v>
      </c>
      <c r="K4" s="306">
        <v>1</v>
      </c>
      <c r="L4" s="460">
        <v>10.8</v>
      </c>
      <c r="M4" s="307">
        <v>1.5</v>
      </c>
      <c r="N4" s="304">
        <f>+M4/L4</f>
        <v>0.13888888888888887</v>
      </c>
      <c r="O4" s="308">
        <v>1</v>
      </c>
      <c r="P4" s="300">
        <v>1</v>
      </c>
      <c r="Q4" s="306">
        <v>1</v>
      </c>
      <c r="R4" s="460">
        <v>13</v>
      </c>
      <c r="S4" s="307">
        <v>1.7</v>
      </c>
      <c r="T4" s="304">
        <f>+S4/R4</f>
        <v>0.13076923076923078</v>
      </c>
      <c r="U4" s="205">
        <f>AVERAGE(E4,K4,Q4)</f>
        <v>1</v>
      </c>
      <c r="V4" s="206">
        <f>AVERAGE(H4,N4,T4)</f>
        <v>0.39655270655270658</v>
      </c>
      <c r="W4" s="309"/>
    </row>
    <row r="5" spans="1:23" s="282" customFormat="1" ht="370.5" customHeight="1" thickTop="1" thickBot="1" x14ac:dyDescent="0.3">
      <c r="A5" s="297" t="s">
        <v>192</v>
      </c>
      <c r="B5" s="298" t="s">
        <v>127</v>
      </c>
      <c r="C5" s="310" t="s">
        <v>128</v>
      </c>
      <c r="D5" s="311" t="s">
        <v>129</v>
      </c>
      <c r="E5" s="312">
        <v>0.75</v>
      </c>
      <c r="F5" s="313">
        <v>0</v>
      </c>
      <c r="G5" s="314">
        <v>0</v>
      </c>
      <c r="H5" s="315">
        <v>0</v>
      </c>
      <c r="I5" s="310" t="s">
        <v>128</v>
      </c>
      <c r="J5" s="311" t="s">
        <v>130</v>
      </c>
      <c r="K5" s="316">
        <v>0.79859999999999998</v>
      </c>
      <c r="L5" s="576"/>
      <c r="M5" s="317">
        <v>0</v>
      </c>
      <c r="N5" s="315">
        <v>0</v>
      </c>
      <c r="O5" s="310" t="s">
        <v>128</v>
      </c>
      <c r="P5" s="318" t="s">
        <v>131</v>
      </c>
      <c r="Q5" s="316">
        <v>0.75</v>
      </c>
      <c r="R5" s="576"/>
      <c r="S5" s="317">
        <v>0</v>
      </c>
      <c r="T5" s="315">
        <v>0</v>
      </c>
      <c r="U5" s="205">
        <f>AVERAGE(E5,K5,Q5)</f>
        <v>0.76619999999999999</v>
      </c>
      <c r="V5" s="207">
        <f>AVERAGE(H5,N5,T5)</f>
        <v>0</v>
      </c>
      <c r="W5" s="309"/>
    </row>
    <row r="6" spans="1:23" ht="15.75" x14ac:dyDescent="0.25">
      <c r="B6" s="1"/>
      <c r="C6" s="37"/>
      <c r="D6" s="38"/>
      <c r="E6" s="39"/>
      <c r="F6" s="142"/>
      <c r="G6" s="143"/>
      <c r="H6" s="40"/>
      <c r="I6" s="37"/>
      <c r="J6" s="38"/>
      <c r="K6" s="39"/>
      <c r="L6" s="142"/>
      <c r="M6" s="143"/>
      <c r="N6" s="40"/>
      <c r="O6" s="37"/>
      <c r="P6" s="38"/>
      <c r="Q6" s="39"/>
      <c r="R6" s="142"/>
      <c r="S6" s="143"/>
      <c r="T6" s="40"/>
      <c r="U6" s="40"/>
      <c r="V6" s="39"/>
    </row>
    <row r="7" spans="1:23" x14ac:dyDescent="0.25">
      <c r="C7" s="37"/>
      <c r="D7" s="38"/>
      <c r="E7" s="39"/>
      <c r="F7" s="142"/>
      <c r="G7" s="143"/>
      <c r="H7" s="40"/>
      <c r="I7" s="37"/>
      <c r="J7" s="38"/>
      <c r="K7" s="39"/>
      <c r="L7" s="142"/>
      <c r="M7" s="143"/>
      <c r="N7" s="40"/>
      <c r="O7" s="37"/>
      <c r="P7" s="38"/>
      <c r="Q7" s="39"/>
      <c r="R7" s="142"/>
      <c r="S7" s="143"/>
      <c r="T7" s="40"/>
      <c r="U7" s="40"/>
      <c r="V7" s="39"/>
    </row>
    <row r="8" spans="1:23" x14ac:dyDescent="0.25">
      <c r="C8" s="37"/>
      <c r="D8" s="38"/>
      <c r="E8" s="39"/>
      <c r="F8" s="142"/>
      <c r="G8" s="143"/>
      <c r="H8" s="40"/>
      <c r="I8" s="37"/>
      <c r="J8" s="38"/>
      <c r="K8" s="39"/>
      <c r="L8" s="142"/>
      <c r="M8" s="143"/>
      <c r="N8" s="40"/>
      <c r="O8" s="37"/>
      <c r="P8" s="38"/>
      <c r="Q8" s="39"/>
      <c r="R8" s="142"/>
      <c r="S8" s="143"/>
      <c r="T8" s="40"/>
      <c r="U8" s="40"/>
      <c r="V8" s="39"/>
    </row>
    <row r="9" spans="1:23" x14ac:dyDescent="0.25">
      <c r="C9" s="37"/>
      <c r="D9" s="38"/>
      <c r="E9" s="39"/>
      <c r="F9" s="142"/>
      <c r="G9" s="143"/>
      <c r="H9" s="40"/>
      <c r="I9" s="37"/>
      <c r="J9" s="38"/>
      <c r="K9" s="39"/>
      <c r="L9" s="142"/>
      <c r="M9" s="143"/>
      <c r="N9" s="40"/>
      <c r="O9" s="37"/>
      <c r="P9" s="38"/>
      <c r="Q9" s="39"/>
      <c r="R9" s="142"/>
      <c r="S9" s="143"/>
      <c r="T9" s="40"/>
      <c r="U9" s="40"/>
      <c r="V9" s="39"/>
    </row>
    <row r="10" spans="1:23" x14ac:dyDescent="0.25">
      <c r="C10" s="37"/>
      <c r="D10" s="38"/>
      <c r="E10" s="39"/>
      <c r="F10" s="142"/>
      <c r="G10" s="143"/>
      <c r="H10" s="40"/>
      <c r="I10" s="37"/>
      <c r="J10" s="38"/>
      <c r="K10" s="39"/>
      <c r="L10" s="142"/>
      <c r="M10" s="143"/>
      <c r="N10" s="40"/>
      <c r="O10" s="37"/>
      <c r="P10" s="38"/>
      <c r="Q10" s="39"/>
      <c r="R10" s="142"/>
      <c r="S10" s="143"/>
      <c r="T10" s="40"/>
      <c r="U10" s="40"/>
      <c r="V10" s="39"/>
    </row>
    <row r="11" spans="1:23" x14ac:dyDescent="0.25">
      <c r="C11" s="37"/>
      <c r="D11" s="38"/>
      <c r="E11" s="39"/>
      <c r="F11" s="142"/>
      <c r="G11" s="143"/>
      <c r="H11" s="40"/>
      <c r="I11" s="37"/>
      <c r="J11" s="38"/>
      <c r="K11" s="39"/>
      <c r="L11" s="142"/>
      <c r="M11" s="143"/>
      <c r="N11" s="40"/>
      <c r="O11" s="37"/>
      <c r="P11" s="38"/>
      <c r="Q11" s="39"/>
      <c r="R11" s="142"/>
      <c r="S11" s="143"/>
      <c r="T11" s="40"/>
      <c r="U11" s="40"/>
      <c r="V11" s="39"/>
    </row>
  </sheetData>
  <mergeCells count="14">
    <mergeCell ref="R2:T2"/>
    <mergeCell ref="U2:V2"/>
    <mergeCell ref="L4:L5"/>
    <mergeCell ref="R4:R5"/>
    <mergeCell ref="A1:B2"/>
    <mergeCell ref="C1:H1"/>
    <mergeCell ref="I1:N1"/>
    <mergeCell ref="O1:T1"/>
    <mergeCell ref="U1:V1"/>
    <mergeCell ref="C2:E2"/>
    <mergeCell ref="F2:H2"/>
    <mergeCell ref="I2:K2"/>
    <mergeCell ref="L2:N2"/>
    <mergeCell ref="O2:Q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F8B1B-30FD-421E-81B6-D505F080E5CB}">
  <dimension ref="A1:W4"/>
  <sheetViews>
    <sheetView zoomScale="80" zoomScaleNormal="80" zoomScaleSheetLayoutView="102" workbookViewId="0">
      <pane xSplit="2" ySplit="3" topLeftCell="C4" activePane="bottomRight" state="frozen"/>
      <selection pane="topRight" activeCell="C1" sqref="C1"/>
      <selection pane="bottomLeft" activeCell="A7" sqref="A7"/>
      <selection pane="bottomRight" activeCell="A4" sqref="A4"/>
    </sheetView>
  </sheetViews>
  <sheetFormatPr baseColWidth="10" defaultColWidth="10.85546875" defaultRowHeight="20.25" x14ac:dyDescent="0.25"/>
  <cols>
    <col min="1" max="1" width="15" style="1" customWidth="1"/>
    <col min="2" max="2" width="38.28515625" style="161" customWidth="1"/>
    <col min="3" max="3" width="19.140625" style="41" customWidth="1"/>
    <col min="4" max="4" width="19.140625" style="42" customWidth="1"/>
    <col min="5" max="5" width="9.28515625" style="184" bestFit="1" customWidth="1"/>
    <col min="6" max="6" width="6.5703125" style="144" bestFit="1" customWidth="1"/>
    <col min="7" max="7" width="6" style="145" bestFit="1" customWidth="1"/>
    <col min="8" max="8" width="6.28515625" style="44" bestFit="1" customWidth="1"/>
    <col min="9" max="9" width="16.7109375" style="41" customWidth="1"/>
    <col min="10" max="10" width="18.5703125" style="42" bestFit="1" customWidth="1"/>
    <col min="11" max="11" width="6.28515625" style="184" bestFit="1" customWidth="1"/>
    <col min="12" max="12" width="6.5703125" style="144" bestFit="1" customWidth="1"/>
    <col min="13" max="13" width="6" style="145" bestFit="1" customWidth="1"/>
    <col min="14" max="14" width="6.28515625" style="44" bestFit="1" customWidth="1"/>
    <col min="15" max="15" width="15.42578125" style="41" customWidth="1"/>
    <col min="16" max="16" width="28" style="42" bestFit="1" customWidth="1"/>
    <col min="17" max="17" width="6.28515625" style="184" bestFit="1" customWidth="1"/>
    <col min="18" max="18" width="6.5703125" style="144" bestFit="1" customWidth="1"/>
    <col min="19" max="19" width="6" style="145" bestFit="1" customWidth="1"/>
    <col min="20" max="20" width="6.28515625" style="44" bestFit="1" customWidth="1"/>
    <col min="21" max="21" width="7.28515625" style="44" customWidth="1"/>
    <col min="22" max="22" width="9.140625" style="184" customWidth="1"/>
    <col min="23" max="23" width="13.42578125" style="1" customWidth="1"/>
    <col min="24" max="24" width="6.85546875" style="1" customWidth="1"/>
    <col min="25" max="25" width="4.7109375" style="1" customWidth="1"/>
    <col min="26" max="26" width="6.42578125" style="1" customWidth="1"/>
    <col min="27" max="27" width="5.7109375" style="1" customWidth="1"/>
    <col min="28" max="28" width="4.7109375" style="1" customWidth="1"/>
    <col min="29" max="30" width="6.140625" style="1" customWidth="1"/>
    <col min="31" max="31" width="7.140625" style="1" customWidth="1"/>
    <col min="32" max="33" width="10.85546875" style="1"/>
    <col min="34" max="34" width="20.7109375" style="1" customWidth="1"/>
    <col min="35" max="35" width="10.85546875" style="1"/>
    <col min="36" max="36" width="11.140625" style="1" bestFit="1" customWidth="1"/>
    <col min="37" max="37" width="11" style="1" bestFit="1" customWidth="1"/>
    <col min="38" max="38" width="22.85546875" style="1" customWidth="1"/>
    <col min="39" max="39" width="10.85546875" style="1"/>
    <col min="40" max="41" width="11" style="1" bestFit="1" customWidth="1"/>
    <col min="42" max="42" width="26.42578125" style="1" customWidth="1"/>
    <col min="43" max="43" width="10.85546875" style="1"/>
    <col min="44" max="45" width="11" style="1" bestFit="1" customWidth="1"/>
    <col min="46" max="16384" width="10.85546875" style="1"/>
  </cols>
  <sheetData>
    <row r="1" spans="1:23" ht="27" customHeight="1" thickBot="1" x14ac:dyDescent="0.3">
      <c r="A1" s="588" t="s">
        <v>198</v>
      </c>
      <c r="B1" s="588"/>
      <c r="C1" s="571">
        <v>2016</v>
      </c>
      <c r="D1" s="572"/>
      <c r="E1" s="572"/>
      <c r="F1" s="572"/>
      <c r="G1" s="572"/>
      <c r="H1" s="573"/>
      <c r="I1" s="571">
        <v>2017</v>
      </c>
      <c r="J1" s="572"/>
      <c r="K1" s="572"/>
      <c r="L1" s="572"/>
      <c r="M1" s="572"/>
      <c r="N1" s="573"/>
      <c r="O1" s="571">
        <v>2018</v>
      </c>
      <c r="P1" s="572"/>
      <c r="Q1" s="572"/>
      <c r="R1" s="572"/>
      <c r="S1" s="572"/>
      <c r="T1" s="573"/>
      <c r="U1" s="590" t="s">
        <v>4</v>
      </c>
      <c r="V1" s="591"/>
      <c r="W1" s="3"/>
    </row>
    <row r="2" spans="1:23" s="3" customFormat="1" ht="51" customHeight="1" thickBot="1" x14ac:dyDescent="0.3">
      <c r="A2" s="589"/>
      <c r="B2" s="589"/>
      <c r="C2" s="571" t="s">
        <v>6</v>
      </c>
      <c r="D2" s="572"/>
      <c r="E2" s="592"/>
      <c r="F2" s="581" t="s">
        <v>7</v>
      </c>
      <c r="G2" s="582"/>
      <c r="H2" s="583"/>
      <c r="I2" s="571" t="s">
        <v>6</v>
      </c>
      <c r="J2" s="572"/>
      <c r="K2" s="592"/>
      <c r="L2" s="581" t="s">
        <v>7</v>
      </c>
      <c r="M2" s="582"/>
      <c r="N2" s="583"/>
      <c r="O2" s="571" t="s">
        <v>6</v>
      </c>
      <c r="P2" s="572"/>
      <c r="Q2" s="592"/>
      <c r="R2" s="581" t="s">
        <v>7</v>
      </c>
      <c r="S2" s="582"/>
      <c r="T2" s="583"/>
      <c r="U2" s="574" t="s">
        <v>8</v>
      </c>
      <c r="V2" s="575"/>
      <c r="W2" s="1"/>
    </row>
    <row r="3" spans="1:23" s="6" customFormat="1" ht="16.5" thickBot="1" x14ac:dyDescent="0.3">
      <c r="A3" s="182" t="s">
        <v>10</v>
      </c>
      <c r="B3" s="192" t="s">
        <v>11</v>
      </c>
      <c r="C3" s="181" t="s">
        <v>177</v>
      </c>
      <c r="D3" s="190" t="s">
        <v>178</v>
      </c>
      <c r="E3" s="191" t="s">
        <v>179</v>
      </c>
      <c r="F3" s="181" t="s">
        <v>177</v>
      </c>
      <c r="G3" s="190" t="s">
        <v>178</v>
      </c>
      <c r="H3" s="189" t="s">
        <v>179</v>
      </c>
      <c r="I3" s="181" t="s">
        <v>177</v>
      </c>
      <c r="J3" s="190" t="s">
        <v>178</v>
      </c>
      <c r="K3" s="189" t="s">
        <v>179</v>
      </c>
      <c r="L3" s="181" t="s">
        <v>177</v>
      </c>
      <c r="M3" s="190" t="s">
        <v>178</v>
      </c>
      <c r="N3" s="189" t="s">
        <v>179</v>
      </c>
      <c r="O3" s="181" t="s">
        <v>177</v>
      </c>
      <c r="P3" s="190" t="s">
        <v>178</v>
      </c>
      <c r="Q3" s="189" t="s">
        <v>179</v>
      </c>
      <c r="R3" s="181" t="s">
        <v>177</v>
      </c>
      <c r="S3" s="190" t="s">
        <v>178</v>
      </c>
      <c r="T3" s="189" t="s">
        <v>179</v>
      </c>
      <c r="U3" s="203" t="s">
        <v>18</v>
      </c>
      <c r="V3" s="194" t="s">
        <v>19</v>
      </c>
      <c r="W3" s="5"/>
    </row>
    <row r="4" spans="1:23" ht="301.5" customHeight="1" thickTop="1" thickBot="1" x14ac:dyDescent="0.3">
      <c r="A4" s="7" t="s">
        <v>194</v>
      </c>
      <c r="B4" s="188" t="s">
        <v>132</v>
      </c>
      <c r="C4" s="196" t="s">
        <v>133</v>
      </c>
      <c r="D4" s="197" t="s">
        <v>186</v>
      </c>
      <c r="E4" s="185">
        <v>0.66600000000000004</v>
      </c>
      <c r="F4" s="198">
        <v>0</v>
      </c>
      <c r="G4" s="199">
        <v>0</v>
      </c>
      <c r="H4" s="186">
        <v>0</v>
      </c>
      <c r="I4" s="196" t="s">
        <v>133</v>
      </c>
      <c r="J4" s="197" t="s">
        <v>135</v>
      </c>
      <c r="K4" s="185">
        <v>0.72899999999999998</v>
      </c>
      <c r="L4" s="295">
        <v>15.9</v>
      </c>
      <c r="M4" s="296">
        <v>12.6</v>
      </c>
      <c r="N4" s="186">
        <v>0.79220000000000002</v>
      </c>
      <c r="O4" s="196" t="s">
        <v>133</v>
      </c>
      <c r="P4" s="197" t="s">
        <v>136</v>
      </c>
      <c r="Q4" s="185">
        <v>0.78300000000000003</v>
      </c>
      <c r="R4" s="295">
        <v>28.8</v>
      </c>
      <c r="S4" s="296">
        <v>5.4</v>
      </c>
      <c r="T4" s="186">
        <v>0.188</v>
      </c>
      <c r="U4" s="206">
        <f>AVERAGE(E4,K4,Q4)</f>
        <v>0.72599999999999998</v>
      </c>
      <c r="V4" s="206">
        <f>AVERAGE(H4,N4,T4)</f>
        <v>0.32673333333333332</v>
      </c>
      <c r="W4" s="13"/>
    </row>
  </sheetData>
  <mergeCells count="12">
    <mergeCell ref="R2:T2"/>
    <mergeCell ref="U2:V2"/>
    <mergeCell ref="A1:B2"/>
    <mergeCell ref="C1:H1"/>
    <mergeCell ref="I1:N1"/>
    <mergeCell ref="O1:T1"/>
    <mergeCell ref="U1:V1"/>
    <mergeCell ref="C2:E2"/>
    <mergeCell ref="F2:H2"/>
    <mergeCell ref="I2:K2"/>
    <mergeCell ref="L2:N2"/>
    <mergeCell ref="O2:Q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43F1A-6BD3-4A6C-BB11-1445D9D76EC5}">
  <dimension ref="A1:W9"/>
  <sheetViews>
    <sheetView zoomScale="80" zoomScaleNormal="80" zoomScaleSheetLayoutView="102" workbookViewId="0">
      <pane xSplit="2" ySplit="3" topLeftCell="C4" activePane="bottomRight" state="frozen"/>
      <selection pane="topRight" activeCell="C1" sqref="C1"/>
      <selection pane="bottomLeft" activeCell="A7" sqref="A7"/>
      <selection pane="bottomRight" activeCell="A4" sqref="A4"/>
    </sheetView>
  </sheetViews>
  <sheetFormatPr baseColWidth="10" defaultColWidth="10.85546875" defaultRowHeight="20.25" x14ac:dyDescent="0.25"/>
  <cols>
    <col min="1" max="1" width="15" style="1" customWidth="1"/>
    <col min="2" max="2" width="34.28515625" style="161" customWidth="1"/>
    <col min="3" max="3" width="29.85546875" style="41" bestFit="1" customWidth="1"/>
    <col min="4" max="4" width="15.85546875" style="42" bestFit="1" customWidth="1"/>
    <col min="5" max="5" width="7.42578125" style="193" bestFit="1" customWidth="1"/>
    <col min="6" max="6" width="6.5703125" style="144" bestFit="1" customWidth="1"/>
    <col min="7" max="7" width="6.42578125" style="145" bestFit="1" customWidth="1"/>
    <col min="8" max="8" width="6.28515625" style="44" bestFit="1" customWidth="1"/>
    <col min="9" max="9" width="17.140625" style="41" customWidth="1"/>
    <col min="10" max="10" width="17.140625" style="42" bestFit="1" customWidth="1"/>
    <col min="11" max="11" width="7.42578125" style="193" bestFit="1" customWidth="1"/>
    <col min="12" max="12" width="6.5703125" style="144" bestFit="1" customWidth="1"/>
    <col min="13" max="13" width="6.42578125" style="145" bestFit="1" customWidth="1"/>
    <col min="14" max="14" width="6.28515625" style="44" bestFit="1" customWidth="1"/>
    <col min="15" max="15" width="15.7109375" style="41" bestFit="1" customWidth="1"/>
    <col min="16" max="16" width="15.85546875" style="42" bestFit="1" customWidth="1"/>
    <col min="17" max="17" width="7.42578125" style="193" bestFit="1" customWidth="1"/>
    <col min="18" max="18" width="6.5703125" style="144" bestFit="1" customWidth="1"/>
    <col min="19" max="19" width="6.42578125" style="145" bestFit="1" customWidth="1"/>
    <col min="20" max="20" width="6.28515625" style="44" bestFit="1" customWidth="1"/>
    <col min="21" max="21" width="12.42578125" style="44" customWidth="1"/>
    <col min="22" max="22" width="15.42578125" style="193" customWidth="1"/>
    <col min="23" max="23" width="13.42578125" style="1" customWidth="1"/>
    <col min="24" max="24" width="6.85546875" style="1" customWidth="1"/>
    <col min="25" max="25" width="4.7109375" style="1" customWidth="1"/>
    <col min="26" max="26" width="6.42578125" style="1" customWidth="1"/>
    <col min="27" max="27" width="5.7109375" style="1" customWidth="1"/>
    <col min="28" max="28" width="4.7109375" style="1" customWidth="1"/>
    <col min="29" max="30" width="6.140625" style="1" customWidth="1"/>
    <col min="31" max="31" width="7.140625" style="1" customWidth="1"/>
    <col min="32" max="33" width="10.85546875" style="1"/>
    <col min="34" max="34" width="20.7109375" style="1" customWidth="1"/>
    <col min="35" max="35" width="10.85546875" style="1"/>
    <col min="36" max="36" width="11.140625" style="1" bestFit="1" customWidth="1"/>
    <col min="37" max="37" width="11" style="1" bestFit="1" customWidth="1"/>
    <col min="38" max="38" width="22.85546875" style="1" customWidth="1"/>
    <col min="39" max="39" width="10.85546875" style="1"/>
    <col min="40" max="41" width="11" style="1" bestFit="1" customWidth="1"/>
    <col min="42" max="42" width="26.42578125" style="1" customWidth="1"/>
    <col min="43" max="43" width="10.85546875" style="1"/>
    <col min="44" max="45" width="11" style="1" bestFit="1" customWidth="1"/>
    <col min="46" max="16384" width="10.85546875" style="1"/>
  </cols>
  <sheetData>
    <row r="1" spans="1:23" ht="38.25" customHeight="1" thickBot="1" x14ac:dyDescent="0.3">
      <c r="A1" s="593" t="s">
        <v>199</v>
      </c>
      <c r="B1" s="594"/>
      <c r="C1" s="581">
        <v>2016</v>
      </c>
      <c r="D1" s="582"/>
      <c r="E1" s="582"/>
      <c r="F1" s="582"/>
      <c r="G1" s="582"/>
      <c r="H1" s="583"/>
      <c r="I1" s="581">
        <v>2017</v>
      </c>
      <c r="J1" s="582"/>
      <c r="K1" s="582"/>
      <c r="L1" s="582"/>
      <c r="M1" s="582"/>
      <c r="N1" s="583"/>
      <c r="O1" s="581">
        <v>2018</v>
      </c>
      <c r="P1" s="582"/>
      <c r="Q1" s="582"/>
      <c r="R1" s="582"/>
      <c r="S1" s="582"/>
      <c r="T1" s="583"/>
      <c r="U1" s="584" t="s">
        <v>4</v>
      </c>
      <c r="V1" s="585"/>
      <c r="W1" s="3"/>
    </row>
    <row r="2" spans="1:23" s="3" customFormat="1" ht="38.25" customHeight="1" thickBot="1" x14ac:dyDescent="0.3">
      <c r="A2" s="595"/>
      <c r="B2" s="596"/>
      <c r="C2" s="586" t="s">
        <v>6</v>
      </c>
      <c r="D2" s="587"/>
      <c r="E2" s="587"/>
      <c r="F2" s="571" t="s">
        <v>7</v>
      </c>
      <c r="G2" s="572"/>
      <c r="H2" s="573"/>
      <c r="I2" s="586" t="s">
        <v>6</v>
      </c>
      <c r="J2" s="587"/>
      <c r="K2" s="587"/>
      <c r="L2" s="571" t="s">
        <v>7</v>
      </c>
      <c r="M2" s="572"/>
      <c r="N2" s="573"/>
      <c r="O2" s="586" t="s">
        <v>6</v>
      </c>
      <c r="P2" s="587"/>
      <c r="Q2" s="587"/>
      <c r="R2" s="571" t="s">
        <v>7</v>
      </c>
      <c r="S2" s="572"/>
      <c r="T2" s="573"/>
      <c r="U2" s="574" t="s">
        <v>8</v>
      </c>
      <c r="V2" s="575"/>
      <c r="W2" s="4"/>
    </row>
    <row r="3" spans="1:23" s="6" customFormat="1" ht="34.5" customHeight="1" thickBot="1" x14ac:dyDescent="0.3">
      <c r="A3" s="176" t="s">
        <v>10</v>
      </c>
      <c r="B3" s="201" t="s">
        <v>11</v>
      </c>
      <c r="C3" s="177" t="s">
        <v>177</v>
      </c>
      <c r="D3" s="178" t="s">
        <v>178</v>
      </c>
      <c r="E3" s="179" t="s">
        <v>179</v>
      </c>
      <c r="F3" s="177" t="s">
        <v>177</v>
      </c>
      <c r="G3" s="178" t="s">
        <v>178</v>
      </c>
      <c r="H3" s="180" t="s">
        <v>179</v>
      </c>
      <c r="I3" s="177" t="s">
        <v>177</v>
      </c>
      <c r="J3" s="178" t="s">
        <v>178</v>
      </c>
      <c r="K3" s="179" t="s">
        <v>179</v>
      </c>
      <c r="L3" s="177" t="s">
        <v>177</v>
      </c>
      <c r="M3" s="178" t="s">
        <v>178</v>
      </c>
      <c r="N3" s="180" t="s">
        <v>179</v>
      </c>
      <c r="O3" s="177" t="s">
        <v>177</v>
      </c>
      <c r="P3" s="178" t="s">
        <v>178</v>
      </c>
      <c r="Q3" s="179" t="s">
        <v>179</v>
      </c>
      <c r="R3" s="177" t="s">
        <v>177</v>
      </c>
      <c r="S3" s="178" t="s">
        <v>178</v>
      </c>
      <c r="T3" s="180" t="s">
        <v>179</v>
      </c>
      <c r="U3" s="204" t="s">
        <v>18</v>
      </c>
      <c r="V3" s="208" t="s">
        <v>19</v>
      </c>
      <c r="W3" s="5"/>
    </row>
    <row r="4" spans="1:23" ht="231.75" customHeight="1" thickTop="1" x14ac:dyDescent="0.25">
      <c r="A4" s="7" t="s">
        <v>194</v>
      </c>
      <c r="B4" s="159" t="s">
        <v>137</v>
      </c>
      <c r="C4" s="21" t="s">
        <v>138</v>
      </c>
      <c r="D4" s="20" t="s">
        <v>139</v>
      </c>
      <c r="E4" s="12">
        <v>1</v>
      </c>
      <c r="F4" s="147">
        <v>0</v>
      </c>
      <c r="G4" s="148">
        <v>0</v>
      </c>
      <c r="H4" s="11">
        <v>0</v>
      </c>
      <c r="I4" s="18" t="s">
        <v>138</v>
      </c>
      <c r="J4" s="20" t="s">
        <v>140</v>
      </c>
      <c r="K4" s="10">
        <v>1</v>
      </c>
      <c r="L4" s="136">
        <v>0</v>
      </c>
      <c r="M4" s="138">
        <v>0</v>
      </c>
      <c r="N4" s="11">
        <v>0</v>
      </c>
      <c r="O4" s="18" t="s">
        <v>138</v>
      </c>
      <c r="P4" s="20" t="s">
        <v>141</v>
      </c>
      <c r="Q4" s="10">
        <v>1</v>
      </c>
      <c r="R4" s="136">
        <v>0</v>
      </c>
      <c r="S4" s="138">
        <v>0</v>
      </c>
      <c r="T4" s="11">
        <v>0</v>
      </c>
      <c r="U4" s="206">
        <f>AVERAGE(E4,K4,Q4)</f>
        <v>1</v>
      </c>
      <c r="V4" s="206">
        <f>AVERAGE(H4,N4,T4)</f>
        <v>0</v>
      </c>
      <c r="W4" s="13"/>
    </row>
    <row r="5" spans="1:23" x14ac:dyDescent="0.25">
      <c r="C5" s="37"/>
      <c r="D5" s="38"/>
      <c r="E5" s="39"/>
      <c r="F5" s="142"/>
      <c r="G5" s="143"/>
      <c r="H5" s="40"/>
      <c r="I5" s="37"/>
      <c r="J5" s="38"/>
      <c r="K5" s="39"/>
      <c r="L5" s="142"/>
      <c r="M5" s="143"/>
      <c r="N5" s="40"/>
      <c r="O5" s="37"/>
      <c r="P5" s="38"/>
      <c r="Q5" s="39"/>
      <c r="R5" s="142"/>
      <c r="S5" s="143"/>
      <c r="T5" s="40"/>
      <c r="U5" s="40"/>
      <c r="V5" s="39"/>
    </row>
    <row r="6" spans="1:23" x14ac:dyDescent="0.25">
      <c r="C6" s="37"/>
      <c r="D6" s="38"/>
      <c r="E6" s="39"/>
      <c r="F6" s="142"/>
      <c r="G6" s="143"/>
      <c r="H6" s="40"/>
      <c r="I6" s="37"/>
      <c r="J6" s="38"/>
      <c r="K6" s="39"/>
      <c r="L6" s="142"/>
      <c r="M6" s="143"/>
      <c r="N6" s="40"/>
      <c r="O6" s="37"/>
      <c r="P6" s="38"/>
      <c r="Q6" s="39"/>
      <c r="R6" s="142"/>
      <c r="S6" s="143"/>
      <c r="T6" s="40"/>
      <c r="U6" s="40"/>
      <c r="V6" s="39"/>
    </row>
    <row r="7" spans="1:23" x14ac:dyDescent="0.25">
      <c r="C7" s="37"/>
      <c r="D7" s="38"/>
      <c r="E7" s="39"/>
      <c r="F7" s="142"/>
      <c r="G7" s="143"/>
      <c r="H7" s="40"/>
      <c r="I7" s="37"/>
      <c r="J7" s="38"/>
      <c r="K7" s="39"/>
      <c r="L7" s="142"/>
      <c r="M7" s="143"/>
      <c r="N7" s="40"/>
      <c r="O7" s="37"/>
      <c r="P7" s="38"/>
      <c r="Q7" s="39"/>
      <c r="R7" s="142"/>
      <c r="S7" s="143"/>
      <c r="T7" s="40"/>
      <c r="U7" s="40"/>
      <c r="V7" s="39"/>
    </row>
    <row r="8" spans="1:23" x14ac:dyDescent="0.25">
      <c r="C8" s="37"/>
      <c r="D8" s="38"/>
      <c r="E8" s="39"/>
      <c r="F8" s="142"/>
      <c r="G8" s="143"/>
      <c r="H8" s="40"/>
      <c r="I8" s="37"/>
      <c r="J8" s="38"/>
      <c r="K8" s="39"/>
      <c r="L8" s="142"/>
      <c r="M8" s="143"/>
      <c r="N8" s="40"/>
      <c r="O8" s="37"/>
      <c r="P8" s="38"/>
      <c r="Q8" s="39"/>
      <c r="R8" s="142"/>
      <c r="S8" s="143"/>
      <c r="T8" s="40"/>
      <c r="U8" s="40"/>
      <c r="V8" s="39"/>
    </row>
    <row r="9" spans="1:23" x14ac:dyDescent="0.25">
      <c r="C9" s="37"/>
      <c r="D9" s="38"/>
      <c r="E9" s="39"/>
      <c r="F9" s="142"/>
      <c r="G9" s="143"/>
      <c r="H9" s="40"/>
      <c r="I9" s="37"/>
      <c r="J9" s="38"/>
      <c r="K9" s="39"/>
      <c r="L9" s="142"/>
      <c r="M9" s="143"/>
      <c r="N9" s="40"/>
      <c r="O9" s="37"/>
      <c r="P9" s="38"/>
      <c r="Q9" s="39"/>
      <c r="R9" s="142"/>
      <c r="S9" s="143"/>
      <c r="T9" s="40"/>
      <c r="U9" s="40"/>
      <c r="V9" s="39"/>
    </row>
  </sheetData>
  <mergeCells count="12">
    <mergeCell ref="R2:T2"/>
    <mergeCell ref="U2:V2"/>
    <mergeCell ref="A1:B2"/>
    <mergeCell ref="C1:H1"/>
    <mergeCell ref="I1:N1"/>
    <mergeCell ref="O1:T1"/>
    <mergeCell ref="U1:V1"/>
    <mergeCell ref="C2:E2"/>
    <mergeCell ref="F2:H2"/>
    <mergeCell ref="I2:K2"/>
    <mergeCell ref="L2:N2"/>
    <mergeCell ref="O2:Q2"/>
  </mergeCells>
  <pageMargins left="0.7" right="0.7" top="0.75" bottom="0.75" header="0.3" footer="0.3"/>
  <pageSetup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AFB58-B7FD-43AB-B176-871950EAA2F0}">
  <dimension ref="A1:AH12"/>
  <sheetViews>
    <sheetView zoomScale="80" zoomScaleNormal="80" zoomScaleSheetLayoutView="102" workbookViewId="0">
      <pane xSplit="2" ySplit="3" topLeftCell="C4" activePane="bottomRight" state="frozen"/>
      <selection pane="topRight" activeCell="C1" sqref="C1"/>
      <selection pane="bottomLeft" activeCell="A7" sqref="A7"/>
      <selection pane="bottomRight" activeCell="C4" sqref="C4"/>
    </sheetView>
  </sheetViews>
  <sheetFormatPr baseColWidth="10" defaultColWidth="10.85546875" defaultRowHeight="20.25" x14ac:dyDescent="0.25"/>
  <cols>
    <col min="1" max="1" width="15" style="1" customWidth="1"/>
    <col min="2" max="2" width="34.28515625" style="161" customWidth="1"/>
    <col min="3" max="3" width="18.140625" style="41" bestFit="1" customWidth="1"/>
    <col min="4" max="4" width="19.28515625" style="42" bestFit="1" customWidth="1"/>
    <col min="5" max="5" width="7.42578125" style="193" bestFit="1" customWidth="1"/>
    <col min="6" max="6" width="13.140625" style="144" bestFit="1" customWidth="1"/>
    <col min="7" max="7" width="13.140625" style="145" bestFit="1" customWidth="1"/>
    <col min="8" max="8" width="6.28515625" style="44" bestFit="1" customWidth="1"/>
    <col min="9" max="9" width="15.28515625" style="41" bestFit="1" customWidth="1"/>
    <col min="10" max="10" width="17" style="42" bestFit="1" customWidth="1"/>
    <col min="11" max="11" width="7.42578125" style="193" bestFit="1" customWidth="1"/>
    <col min="12" max="12" width="13.140625" style="144" bestFit="1" customWidth="1"/>
    <col min="13" max="13" width="13.140625" style="145" bestFit="1" customWidth="1"/>
    <col min="14" max="14" width="6.28515625" style="44" bestFit="1" customWidth="1"/>
    <col min="15" max="15" width="15.28515625" style="41" bestFit="1" customWidth="1"/>
    <col min="16" max="16" width="27.140625" style="42" bestFit="1" customWidth="1"/>
    <col min="17" max="17" width="7.42578125" style="193" bestFit="1" customWidth="1"/>
    <col min="18" max="18" width="13.140625" style="144" bestFit="1" customWidth="1"/>
    <col min="19" max="19" width="13.140625" style="145" bestFit="1" customWidth="1"/>
    <col min="20" max="20" width="6.28515625" style="44" bestFit="1" customWidth="1"/>
    <col min="21" max="21" width="12.42578125" style="44" customWidth="1"/>
    <col min="22" max="22" width="15.42578125" style="193" customWidth="1"/>
    <col min="23" max="23" width="6.85546875" style="1" customWidth="1"/>
    <col min="24" max="24" width="4.7109375" style="1" customWidth="1"/>
    <col min="25" max="25" width="6.42578125" style="1" customWidth="1"/>
    <col min="26" max="26" width="5.7109375" style="1" customWidth="1"/>
    <col min="27" max="27" width="4.7109375" style="1" customWidth="1"/>
    <col min="28" max="29" width="6.140625" style="1" customWidth="1"/>
    <col min="30" max="30" width="7.140625" style="1" customWidth="1"/>
    <col min="31" max="32" width="10.85546875" style="1"/>
    <col min="33" max="33" width="20.7109375" style="1" customWidth="1"/>
    <col min="34" max="34" width="10.85546875" style="1"/>
    <col min="35" max="35" width="11.140625" style="1" bestFit="1" customWidth="1"/>
    <col min="36" max="36" width="11" style="1" bestFit="1" customWidth="1"/>
    <col min="37" max="37" width="22.85546875" style="1" customWidth="1"/>
    <col min="38" max="38" width="10.85546875" style="1"/>
    <col min="39" max="40" width="11" style="1" bestFit="1" customWidth="1"/>
    <col min="41" max="41" width="26.42578125" style="1" customWidth="1"/>
    <col min="42" max="42" width="10.85546875" style="1"/>
    <col min="43" max="44" width="11" style="1" bestFit="1" customWidth="1"/>
    <col min="45" max="16384" width="10.85546875" style="1"/>
  </cols>
  <sheetData>
    <row r="1" spans="1:34" ht="36.75" customHeight="1" thickBot="1" x14ac:dyDescent="0.3">
      <c r="A1" s="577" t="s">
        <v>200</v>
      </c>
      <c r="B1" s="578"/>
      <c r="C1" s="581">
        <v>2016</v>
      </c>
      <c r="D1" s="582"/>
      <c r="E1" s="582"/>
      <c r="F1" s="582"/>
      <c r="G1" s="582"/>
      <c r="H1" s="583"/>
      <c r="I1" s="581">
        <v>2017</v>
      </c>
      <c r="J1" s="582"/>
      <c r="K1" s="582"/>
      <c r="L1" s="582"/>
      <c r="M1" s="582"/>
      <c r="N1" s="582"/>
      <c r="O1" s="581">
        <v>2018</v>
      </c>
      <c r="P1" s="582"/>
      <c r="Q1" s="582"/>
      <c r="R1" s="582"/>
      <c r="S1" s="582"/>
      <c r="T1" s="583"/>
      <c r="U1" s="584" t="s">
        <v>4</v>
      </c>
      <c r="V1" s="585"/>
    </row>
    <row r="2" spans="1:34" s="3" customFormat="1" ht="36.75" customHeight="1" thickBot="1" x14ac:dyDescent="0.3">
      <c r="A2" s="579"/>
      <c r="B2" s="580"/>
      <c r="C2" s="586" t="s">
        <v>6</v>
      </c>
      <c r="D2" s="587"/>
      <c r="E2" s="587"/>
      <c r="F2" s="571" t="s">
        <v>7</v>
      </c>
      <c r="G2" s="572"/>
      <c r="H2" s="573"/>
      <c r="I2" s="586" t="s">
        <v>6</v>
      </c>
      <c r="J2" s="587"/>
      <c r="K2" s="587"/>
      <c r="L2" s="571" t="s">
        <v>7</v>
      </c>
      <c r="M2" s="572"/>
      <c r="N2" s="572"/>
      <c r="O2" s="586" t="s">
        <v>6</v>
      </c>
      <c r="P2" s="587"/>
      <c r="Q2" s="587"/>
      <c r="R2" s="571" t="s">
        <v>7</v>
      </c>
      <c r="S2" s="572"/>
      <c r="T2" s="573"/>
      <c r="U2" s="574" t="s">
        <v>8</v>
      </c>
      <c r="V2" s="575"/>
    </row>
    <row r="3" spans="1:34" s="6" customFormat="1" ht="36.75" customHeight="1" thickBot="1" x14ac:dyDescent="0.3">
      <c r="A3" s="176" t="s">
        <v>10</v>
      </c>
      <c r="B3" s="201" t="s">
        <v>11</v>
      </c>
      <c r="C3" s="177" t="s">
        <v>177</v>
      </c>
      <c r="D3" s="178" t="s">
        <v>178</v>
      </c>
      <c r="E3" s="179" t="s">
        <v>179</v>
      </c>
      <c r="F3" s="177" t="s">
        <v>177</v>
      </c>
      <c r="G3" s="178" t="s">
        <v>178</v>
      </c>
      <c r="H3" s="180" t="s">
        <v>179</v>
      </c>
      <c r="I3" s="177" t="s">
        <v>177</v>
      </c>
      <c r="J3" s="178" t="s">
        <v>178</v>
      </c>
      <c r="K3" s="179" t="s">
        <v>179</v>
      </c>
      <c r="L3" s="177" t="s">
        <v>177</v>
      </c>
      <c r="M3" s="178" t="s">
        <v>178</v>
      </c>
      <c r="N3" s="209" t="s">
        <v>179</v>
      </c>
      <c r="O3" s="177" t="s">
        <v>177</v>
      </c>
      <c r="P3" s="178" t="s">
        <v>178</v>
      </c>
      <c r="Q3" s="179" t="s">
        <v>179</v>
      </c>
      <c r="R3" s="177" t="s">
        <v>177</v>
      </c>
      <c r="S3" s="178" t="s">
        <v>178</v>
      </c>
      <c r="T3" s="180" t="s">
        <v>179</v>
      </c>
      <c r="U3" s="204" t="s">
        <v>18</v>
      </c>
      <c r="V3" s="208" t="s">
        <v>19</v>
      </c>
    </row>
    <row r="4" spans="1:34" ht="150.94999999999999" customHeight="1" thickTop="1" thickBot="1" x14ac:dyDescent="0.3">
      <c r="A4" s="7" t="s">
        <v>193</v>
      </c>
      <c r="B4" s="210" t="s">
        <v>143</v>
      </c>
      <c r="C4" s="14" t="s">
        <v>144</v>
      </c>
      <c r="D4" s="20" t="s">
        <v>145</v>
      </c>
      <c r="E4" s="10">
        <f>7/15</f>
        <v>0.46666666666666667</v>
      </c>
      <c r="F4" s="149">
        <v>1875.29</v>
      </c>
      <c r="G4" s="148">
        <v>1486.19</v>
      </c>
      <c r="H4" s="11">
        <f>+G4/F4</f>
        <v>0.79251209146318702</v>
      </c>
      <c r="I4" s="19" t="s">
        <v>144</v>
      </c>
      <c r="J4" s="20" t="s">
        <v>146</v>
      </c>
      <c r="K4" s="10">
        <f>10/15</f>
        <v>0.66666666666666663</v>
      </c>
      <c r="L4" s="458">
        <v>6437.7</v>
      </c>
      <c r="M4" s="460">
        <v>5550.5</v>
      </c>
      <c r="N4" s="597">
        <f>+M4/L4</f>
        <v>0.86218680584680862</v>
      </c>
      <c r="O4" s="211" t="s">
        <v>144</v>
      </c>
      <c r="P4" s="20" t="s">
        <v>147</v>
      </c>
      <c r="Q4" s="10">
        <v>0.47</v>
      </c>
      <c r="R4" s="458">
        <v>6803.2</v>
      </c>
      <c r="S4" s="460">
        <v>6091.54</v>
      </c>
      <c r="T4" s="599">
        <f>+S4/R4</f>
        <v>0.89539334430856066</v>
      </c>
      <c r="U4" s="206">
        <f>AVERAGE(E4,K4,Q4)</f>
        <v>0.53444444444444439</v>
      </c>
      <c r="V4" s="206">
        <f>AVERAGE(H4,N4,T4)</f>
        <v>0.85003074720618554</v>
      </c>
    </row>
    <row r="5" spans="1:34" ht="131.1" customHeight="1" thickTop="1" thickBot="1" x14ac:dyDescent="0.3">
      <c r="A5" s="7" t="s">
        <v>193</v>
      </c>
      <c r="B5" s="210" t="s">
        <v>148</v>
      </c>
      <c r="C5" s="23" t="s">
        <v>149</v>
      </c>
      <c r="D5" s="20" t="s">
        <v>150</v>
      </c>
      <c r="E5" s="10">
        <f>18/7</f>
        <v>2.5714285714285716</v>
      </c>
      <c r="F5" s="149">
        <v>3531.66</v>
      </c>
      <c r="G5" s="138">
        <v>3305.25</v>
      </c>
      <c r="H5" s="11">
        <f>+G5/F5</f>
        <v>0.93589133721819207</v>
      </c>
      <c r="I5" s="24" t="s">
        <v>149</v>
      </c>
      <c r="J5" s="20" t="s">
        <v>151</v>
      </c>
      <c r="K5" s="10">
        <f>18/7</f>
        <v>2.5714285714285716</v>
      </c>
      <c r="L5" s="459"/>
      <c r="M5" s="461"/>
      <c r="N5" s="598"/>
      <c r="O5" s="212" t="s">
        <v>149</v>
      </c>
      <c r="P5" s="20" t="s">
        <v>152</v>
      </c>
      <c r="Q5" s="10">
        <v>1</v>
      </c>
      <c r="R5" s="459"/>
      <c r="S5" s="461"/>
      <c r="T5" s="600"/>
      <c r="U5" s="206">
        <f>AVERAGE(E5,K5,Q5)</f>
        <v>2.0476190476190479</v>
      </c>
      <c r="V5" s="206">
        <f>AVERAGE(H5,N5,T5)</f>
        <v>0.93589133721819207</v>
      </c>
    </row>
    <row r="6" spans="1:34" ht="176.1" customHeight="1" thickTop="1" thickBot="1" x14ac:dyDescent="0.25">
      <c r="A6" s="7" t="s">
        <v>193</v>
      </c>
      <c r="B6" s="25" t="s">
        <v>154</v>
      </c>
      <c r="C6" s="14" t="s">
        <v>155</v>
      </c>
      <c r="D6" s="24" t="s">
        <v>156</v>
      </c>
      <c r="E6" s="10">
        <f>78.62/75</f>
        <v>1.0482666666666667</v>
      </c>
      <c r="F6" s="149">
        <v>64.05</v>
      </c>
      <c r="G6" s="138">
        <v>51.53</v>
      </c>
      <c r="H6" s="11">
        <f>+G6/F6</f>
        <v>0.80452771272443413</v>
      </c>
      <c r="I6" s="19" t="s">
        <v>157</v>
      </c>
      <c r="J6" s="24" t="s">
        <v>158</v>
      </c>
      <c r="K6" s="10">
        <v>0.77</v>
      </c>
      <c r="L6" s="139">
        <v>43.1</v>
      </c>
      <c r="M6" s="140">
        <v>4.3</v>
      </c>
      <c r="N6" s="213">
        <v>8.9999999999999998E-4</v>
      </c>
      <c r="O6" s="196" t="s">
        <v>155</v>
      </c>
      <c r="P6" s="214" t="s">
        <v>159</v>
      </c>
      <c r="Q6" s="185">
        <v>0.33</v>
      </c>
      <c r="R6" s="215"/>
      <c r="S6" s="216"/>
      <c r="T6" s="217">
        <v>8.9999999999999998E-4</v>
      </c>
      <c r="U6" s="206">
        <f>AVERAGE(E6,K6,Q6)</f>
        <v>0.71608888888888889</v>
      </c>
      <c r="V6" s="206">
        <f>AVERAGE(H6,N6,T6)</f>
        <v>0.26877590424147807</v>
      </c>
      <c r="AE6" s="27"/>
      <c r="AF6" s="27"/>
      <c r="AG6" s="27"/>
      <c r="AH6" s="27"/>
    </row>
    <row r="7" spans="1:34" x14ac:dyDescent="0.25">
      <c r="C7" s="37"/>
      <c r="D7" s="38"/>
      <c r="E7" s="39"/>
      <c r="F7" s="142"/>
      <c r="G7" s="143"/>
      <c r="H7" s="40"/>
      <c r="I7" s="37"/>
      <c r="J7" s="38"/>
      <c r="K7" s="39"/>
      <c r="L7" s="142"/>
      <c r="M7" s="143"/>
      <c r="N7" s="40"/>
      <c r="O7" s="37"/>
      <c r="P7" s="38"/>
      <c r="Q7" s="39"/>
      <c r="R7" s="142"/>
      <c r="S7" s="143"/>
      <c r="T7" s="40"/>
      <c r="U7" s="40"/>
      <c r="V7" s="39"/>
    </row>
    <row r="8" spans="1:34" x14ac:dyDescent="0.25">
      <c r="C8" s="37"/>
      <c r="D8" s="38"/>
      <c r="E8" s="39"/>
      <c r="F8" s="142"/>
      <c r="G8" s="143"/>
      <c r="H8" s="40"/>
      <c r="I8" s="37"/>
      <c r="J8" s="38"/>
      <c r="K8" s="39"/>
      <c r="L8" s="142"/>
      <c r="M8" s="143"/>
      <c r="N8" s="40"/>
      <c r="O8" s="37"/>
      <c r="P8" s="38"/>
      <c r="Q8" s="39"/>
      <c r="R8" s="142"/>
      <c r="S8" s="143"/>
      <c r="T8" s="40"/>
      <c r="U8" s="40"/>
      <c r="V8" s="39"/>
    </row>
    <row r="9" spans="1:34" x14ac:dyDescent="0.25">
      <c r="C9" s="37"/>
      <c r="D9" s="38"/>
      <c r="E9" s="39"/>
      <c r="F9" s="142"/>
      <c r="G9" s="143"/>
      <c r="H9" s="40"/>
      <c r="I9" s="37"/>
      <c r="J9" s="38"/>
      <c r="K9" s="39"/>
      <c r="L9" s="142"/>
      <c r="M9" s="143"/>
      <c r="N9" s="40"/>
      <c r="O9" s="37"/>
      <c r="P9" s="38"/>
      <c r="Q9" s="39"/>
      <c r="R9" s="142"/>
      <c r="S9" s="143"/>
      <c r="T9" s="40"/>
      <c r="U9" s="40"/>
      <c r="V9" s="39"/>
    </row>
    <row r="10" spans="1:34" x14ac:dyDescent="0.25">
      <c r="C10" s="37"/>
      <c r="D10" s="38"/>
      <c r="E10" s="39"/>
      <c r="F10" s="142"/>
      <c r="G10" s="143"/>
      <c r="H10" s="40"/>
      <c r="I10" s="37"/>
      <c r="J10" s="38"/>
      <c r="K10" s="39"/>
      <c r="L10" s="142"/>
      <c r="M10" s="143"/>
      <c r="N10" s="40"/>
      <c r="O10" s="37"/>
      <c r="P10" s="38"/>
      <c r="Q10" s="39"/>
      <c r="R10" s="142"/>
      <c r="S10" s="143"/>
      <c r="T10" s="40"/>
      <c r="U10" s="40"/>
      <c r="V10" s="39"/>
    </row>
    <row r="11" spans="1:34" x14ac:dyDescent="0.25">
      <c r="C11" s="37"/>
      <c r="D11" s="38"/>
      <c r="E11" s="39"/>
      <c r="F11" s="142"/>
      <c r="G11" s="143"/>
      <c r="H11" s="40"/>
      <c r="I11" s="37"/>
      <c r="J11" s="38"/>
      <c r="K11" s="39"/>
      <c r="L11" s="142"/>
      <c r="M11" s="143"/>
      <c r="N11" s="40"/>
      <c r="O11" s="37"/>
      <c r="P11" s="38"/>
      <c r="Q11" s="39"/>
      <c r="R11" s="142"/>
      <c r="S11" s="143"/>
      <c r="T11" s="40"/>
      <c r="U11" s="40"/>
      <c r="V11" s="39"/>
    </row>
    <row r="12" spans="1:34" x14ac:dyDescent="0.25">
      <c r="C12" s="37"/>
      <c r="D12" s="38"/>
      <c r="E12" s="39"/>
      <c r="F12" s="142"/>
      <c r="G12" s="143"/>
      <c r="H12" s="40"/>
      <c r="I12" s="37"/>
      <c r="J12" s="38"/>
      <c r="K12" s="39"/>
      <c r="L12" s="142"/>
      <c r="M12" s="143"/>
      <c r="N12" s="40"/>
      <c r="O12" s="37"/>
      <c r="P12" s="38"/>
      <c r="Q12" s="39"/>
      <c r="R12" s="142"/>
      <c r="S12" s="143"/>
      <c r="T12" s="40"/>
      <c r="U12" s="40"/>
      <c r="V12" s="39"/>
    </row>
  </sheetData>
  <mergeCells count="18">
    <mergeCell ref="T4:T5"/>
    <mergeCell ref="L4:L5"/>
    <mergeCell ref="M4:M5"/>
    <mergeCell ref="N4:N5"/>
    <mergeCell ref="R4:R5"/>
    <mergeCell ref="S4:S5"/>
    <mergeCell ref="A1:B2"/>
    <mergeCell ref="C1:H1"/>
    <mergeCell ref="I1:N1"/>
    <mergeCell ref="O1:T1"/>
    <mergeCell ref="U1:V1"/>
    <mergeCell ref="C2:E2"/>
    <mergeCell ref="F2:H2"/>
    <mergeCell ref="I2:K2"/>
    <mergeCell ref="L2:N2"/>
    <mergeCell ref="O2:Q2"/>
    <mergeCell ref="R2:T2"/>
    <mergeCell ref="U2:V2"/>
  </mergeCells>
  <pageMargins left="0.7" right="0.7" top="0.75" bottom="0.75" header="0.3" footer="0.3"/>
  <pageSetup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A7BDC-D068-444A-8FAB-C9036ACF6C77}">
  <dimension ref="A1:V10"/>
  <sheetViews>
    <sheetView zoomScale="80" zoomScaleNormal="80" zoomScaleSheetLayoutView="102" workbookViewId="0">
      <pane xSplit="2" ySplit="3" topLeftCell="C4" activePane="bottomRight" state="frozen"/>
      <selection pane="topRight" activeCell="C1" sqref="C1"/>
      <selection pane="bottomLeft" activeCell="A7" sqref="A7"/>
      <selection pane="bottomRight" sqref="A1:B2"/>
    </sheetView>
  </sheetViews>
  <sheetFormatPr baseColWidth="10" defaultColWidth="10.85546875" defaultRowHeight="20.25" x14ac:dyDescent="0.25"/>
  <cols>
    <col min="1" max="1" width="15" style="1" customWidth="1"/>
    <col min="2" max="2" width="34.28515625" style="161" customWidth="1"/>
    <col min="3" max="3" width="10.28515625" style="41" bestFit="1" customWidth="1"/>
    <col min="4" max="4" width="6" style="42" bestFit="1" customWidth="1"/>
    <col min="5" max="5" width="6.28515625" style="193" bestFit="1" customWidth="1"/>
    <col min="6" max="6" width="13.140625" style="144" bestFit="1" customWidth="1"/>
    <col min="7" max="7" width="16" style="145" customWidth="1"/>
    <col min="8" max="8" width="12.42578125" style="44" customWidth="1"/>
    <col min="9" max="9" width="7.140625" style="41" bestFit="1" customWidth="1"/>
    <col min="10" max="10" width="8.42578125" style="42" bestFit="1" customWidth="1"/>
    <col min="11" max="11" width="6.28515625" style="193" bestFit="1" customWidth="1"/>
    <col min="12" max="12" width="11.28515625" style="144" bestFit="1" customWidth="1"/>
    <col min="13" max="13" width="11.28515625" style="145" bestFit="1" customWidth="1"/>
    <col min="14" max="14" width="12.42578125" style="44" customWidth="1"/>
    <col min="15" max="15" width="7.140625" style="41" bestFit="1" customWidth="1"/>
    <col min="16" max="16" width="16.42578125" style="42" customWidth="1"/>
    <col min="17" max="17" width="6.28515625" style="193" bestFit="1" customWidth="1"/>
    <col min="18" max="18" width="11.28515625" style="144" bestFit="1" customWidth="1"/>
    <col min="19" max="19" width="11.28515625" style="145" bestFit="1" customWidth="1"/>
    <col min="20" max="20" width="6.28515625" style="44" bestFit="1" customWidth="1"/>
    <col min="21" max="21" width="8.140625" style="44" customWidth="1"/>
    <col min="22" max="22" width="8.140625" style="193" customWidth="1"/>
    <col min="23" max="23" width="6.85546875" style="1" customWidth="1"/>
    <col min="24" max="24" width="4.7109375" style="1" customWidth="1"/>
    <col min="25" max="25" width="6.42578125" style="1" customWidth="1"/>
    <col min="26" max="26" width="5.7109375" style="1" customWidth="1"/>
    <col min="27" max="27" width="4.7109375" style="1" customWidth="1"/>
    <col min="28" max="29" width="10.85546875" style="1"/>
    <col min="30" max="30" width="20.7109375" style="1" customWidth="1"/>
    <col min="31" max="31" width="10.85546875" style="1"/>
    <col min="32" max="32" width="11.140625" style="1" bestFit="1" customWidth="1"/>
    <col min="33" max="33" width="11" style="1" bestFit="1" customWidth="1"/>
    <col min="34" max="34" width="22.85546875" style="1" customWidth="1"/>
    <col min="35" max="35" width="10.85546875" style="1"/>
    <col min="36" max="37" width="11" style="1" bestFit="1" customWidth="1"/>
    <col min="38" max="38" width="26.42578125" style="1" customWidth="1"/>
    <col min="39" max="39" width="10.85546875" style="1"/>
    <col min="40" max="41" width="11" style="1" bestFit="1" customWidth="1"/>
    <col min="42" max="16384" width="10.85546875" style="1"/>
  </cols>
  <sheetData>
    <row r="1" spans="1:22" ht="63" customHeight="1" thickBot="1" x14ac:dyDescent="0.3">
      <c r="A1" s="577" t="s">
        <v>201</v>
      </c>
      <c r="B1" s="578"/>
      <c r="C1" s="581">
        <v>2016</v>
      </c>
      <c r="D1" s="582"/>
      <c r="E1" s="582"/>
      <c r="F1" s="582"/>
      <c r="G1" s="582"/>
      <c r="H1" s="583"/>
      <c r="I1" s="581">
        <v>2017</v>
      </c>
      <c r="J1" s="582"/>
      <c r="K1" s="582"/>
      <c r="L1" s="582"/>
      <c r="M1" s="582"/>
      <c r="N1" s="583"/>
      <c r="O1" s="581">
        <v>2018</v>
      </c>
      <c r="P1" s="582"/>
      <c r="Q1" s="582"/>
      <c r="R1" s="582"/>
      <c r="S1" s="582"/>
      <c r="T1" s="583"/>
      <c r="U1" s="584" t="s">
        <v>4</v>
      </c>
      <c r="V1" s="585"/>
    </row>
    <row r="2" spans="1:22" s="3" customFormat="1" ht="63" customHeight="1" thickBot="1" x14ac:dyDescent="0.3">
      <c r="A2" s="579"/>
      <c r="B2" s="580"/>
      <c r="C2" s="586" t="s">
        <v>6</v>
      </c>
      <c r="D2" s="587"/>
      <c r="E2" s="587"/>
      <c r="F2" s="571" t="s">
        <v>7</v>
      </c>
      <c r="G2" s="572"/>
      <c r="H2" s="573"/>
      <c r="I2" s="586" t="s">
        <v>6</v>
      </c>
      <c r="J2" s="587"/>
      <c r="K2" s="587"/>
      <c r="L2" s="571" t="s">
        <v>7</v>
      </c>
      <c r="M2" s="572"/>
      <c r="N2" s="573"/>
      <c r="O2" s="586" t="s">
        <v>6</v>
      </c>
      <c r="P2" s="587"/>
      <c r="Q2" s="587"/>
      <c r="R2" s="571" t="s">
        <v>7</v>
      </c>
      <c r="S2" s="572"/>
      <c r="T2" s="573"/>
      <c r="U2" s="574" t="s">
        <v>8</v>
      </c>
      <c r="V2" s="575"/>
    </row>
    <row r="3" spans="1:22" s="6" customFormat="1" ht="63" customHeight="1" thickBot="1" x14ac:dyDescent="0.3">
      <c r="A3" s="176" t="s">
        <v>10</v>
      </c>
      <c r="B3" s="201" t="s">
        <v>11</v>
      </c>
      <c r="C3" s="177" t="s">
        <v>177</v>
      </c>
      <c r="D3" s="178" t="s">
        <v>178</v>
      </c>
      <c r="E3" s="179" t="s">
        <v>179</v>
      </c>
      <c r="F3" s="177" t="s">
        <v>177</v>
      </c>
      <c r="G3" s="178" t="s">
        <v>178</v>
      </c>
      <c r="H3" s="180" t="s">
        <v>179</v>
      </c>
      <c r="I3" s="177" t="s">
        <v>177</v>
      </c>
      <c r="J3" s="178" t="s">
        <v>178</v>
      </c>
      <c r="K3" s="179" t="s">
        <v>179</v>
      </c>
      <c r="L3" s="177" t="s">
        <v>177</v>
      </c>
      <c r="M3" s="178" t="s">
        <v>178</v>
      </c>
      <c r="N3" s="180" t="s">
        <v>179</v>
      </c>
      <c r="O3" s="177" t="s">
        <v>177</v>
      </c>
      <c r="P3" s="178" t="s">
        <v>178</v>
      </c>
      <c r="Q3" s="179" t="s">
        <v>179</v>
      </c>
      <c r="R3" s="177" t="s">
        <v>177</v>
      </c>
      <c r="S3" s="178" t="s">
        <v>178</v>
      </c>
      <c r="T3" s="180" t="s">
        <v>179</v>
      </c>
      <c r="U3" s="204" t="s">
        <v>18</v>
      </c>
      <c r="V3" s="208" t="s">
        <v>19</v>
      </c>
    </row>
    <row r="4" spans="1:22" ht="141" customHeight="1" thickTop="1" thickBot="1" x14ac:dyDescent="0.3">
      <c r="A4" s="7" t="s">
        <v>193</v>
      </c>
      <c r="B4" s="218" t="s">
        <v>161</v>
      </c>
      <c r="C4" s="219">
        <v>1</v>
      </c>
      <c r="D4" s="202">
        <f>7/8</f>
        <v>0.875</v>
      </c>
      <c r="E4" s="187">
        <f>+D4</f>
        <v>0.875</v>
      </c>
      <c r="F4" s="294">
        <v>1088.4100000000001</v>
      </c>
      <c r="G4" s="319">
        <v>947.23</v>
      </c>
      <c r="H4" s="186">
        <f>+G4/F4</f>
        <v>0.87028785108552842</v>
      </c>
      <c r="I4" s="219">
        <v>1</v>
      </c>
      <c r="J4" s="220" t="s">
        <v>162</v>
      </c>
      <c r="K4" s="185">
        <v>0.91</v>
      </c>
      <c r="L4" s="293">
        <v>445.3</v>
      </c>
      <c r="M4" s="296">
        <v>292.8</v>
      </c>
      <c r="N4" s="195">
        <f>+M4/L4</f>
        <v>0.65753424657534243</v>
      </c>
      <c r="O4" s="219">
        <v>1</v>
      </c>
      <c r="P4" s="220" t="s">
        <v>163</v>
      </c>
      <c r="Q4" s="185">
        <v>0.52</v>
      </c>
      <c r="R4" s="293">
        <v>735.16</v>
      </c>
      <c r="S4" s="296">
        <v>292.16000000000003</v>
      </c>
      <c r="T4" s="195">
        <v>0.39741008759997831</v>
      </c>
      <c r="U4" s="206">
        <f>AVERAGE(E4,K4,Q4)</f>
        <v>0.76833333333333342</v>
      </c>
      <c r="V4" s="206">
        <f>AVERAGE(H4,N4,T4)</f>
        <v>0.64174406175361642</v>
      </c>
    </row>
    <row r="5" spans="1:22" x14ac:dyDescent="0.25">
      <c r="C5" s="37"/>
      <c r="D5" s="38"/>
      <c r="E5" s="39"/>
      <c r="F5" s="142"/>
      <c r="G5" s="143"/>
      <c r="H5" s="40"/>
      <c r="I5" s="37"/>
      <c r="J5" s="38"/>
      <c r="K5" s="39"/>
      <c r="L5" s="142"/>
      <c r="M5" s="143"/>
      <c r="N5" s="40"/>
      <c r="O5" s="37"/>
      <c r="P5" s="38"/>
      <c r="Q5" s="39"/>
      <c r="R5" s="142"/>
      <c r="S5" s="143"/>
      <c r="T5" s="40"/>
      <c r="U5" s="40"/>
      <c r="V5" s="39"/>
    </row>
    <row r="6" spans="1:22" x14ac:dyDescent="0.25">
      <c r="C6" s="37"/>
      <c r="D6" s="38"/>
      <c r="E6" s="39"/>
      <c r="F6" s="142"/>
      <c r="G6" s="143"/>
      <c r="H6" s="40"/>
      <c r="I6" s="37"/>
      <c r="J6" s="38"/>
      <c r="K6" s="39"/>
      <c r="L6" s="142"/>
      <c r="M6" s="143"/>
      <c r="N6" s="40"/>
      <c r="O6" s="37"/>
      <c r="P6" s="38"/>
      <c r="Q6" s="39"/>
      <c r="R6" s="142"/>
      <c r="S6" s="143"/>
      <c r="T6" s="40"/>
      <c r="U6" s="40"/>
      <c r="V6" s="39"/>
    </row>
    <row r="7" spans="1:22" x14ac:dyDescent="0.25">
      <c r="C7" s="37"/>
      <c r="D7" s="38"/>
      <c r="E7" s="39"/>
      <c r="F7" s="142"/>
      <c r="G7" s="143"/>
      <c r="H7" s="40"/>
      <c r="I7" s="37"/>
      <c r="J7" s="38"/>
      <c r="K7" s="39"/>
      <c r="L7" s="142"/>
      <c r="M7" s="143"/>
      <c r="N7" s="40"/>
      <c r="O7" s="37"/>
      <c r="P7" s="38"/>
      <c r="Q7" s="39"/>
      <c r="R7" s="142"/>
      <c r="S7" s="143"/>
      <c r="T7" s="40"/>
      <c r="U7" s="40"/>
      <c r="V7" s="39"/>
    </row>
    <row r="8" spans="1:22" x14ac:dyDescent="0.25">
      <c r="C8" s="37"/>
      <c r="D8" s="38"/>
      <c r="E8" s="39"/>
      <c r="F8" s="142"/>
      <c r="G8" s="143"/>
      <c r="H8" s="40"/>
      <c r="I8" s="37"/>
      <c r="J8" s="38"/>
      <c r="K8" s="39"/>
      <c r="L8" s="142"/>
      <c r="M8" s="143"/>
      <c r="N8" s="40"/>
      <c r="O8" s="37"/>
      <c r="P8" s="38"/>
      <c r="Q8" s="39"/>
      <c r="R8" s="142"/>
      <c r="S8" s="143"/>
      <c r="T8" s="40"/>
      <c r="U8" s="40"/>
      <c r="V8" s="39"/>
    </row>
    <row r="9" spans="1:22" x14ac:dyDescent="0.25">
      <c r="C9" s="37"/>
      <c r="D9" s="38"/>
      <c r="E9" s="39"/>
      <c r="F9" s="142"/>
      <c r="G9" s="143"/>
      <c r="H9" s="40"/>
      <c r="I9" s="37"/>
      <c r="J9" s="38"/>
      <c r="K9" s="39"/>
      <c r="L9" s="142"/>
      <c r="M9" s="143"/>
      <c r="N9" s="40"/>
      <c r="O9" s="37"/>
      <c r="P9" s="38"/>
      <c r="Q9" s="39"/>
      <c r="R9" s="142"/>
      <c r="S9" s="143"/>
      <c r="T9" s="40"/>
      <c r="U9" s="40"/>
      <c r="V9" s="39"/>
    </row>
    <row r="10" spans="1:22" x14ac:dyDescent="0.25">
      <c r="C10" s="37"/>
      <c r="D10" s="38"/>
      <c r="E10" s="39"/>
      <c r="F10" s="142"/>
      <c r="G10" s="143"/>
      <c r="H10" s="40"/>
      <c r="I10" s="37"/>
      <c r="J10" s="38"/>
      <c r="K10" s="39"/>
      <c r="L10" s="142"/>
      <c r="M10" s="143"/>
      <c r="N10" s="40"/>
      <c r="O10" s="37"/>
      <c r="P10" s="38"/>
      <c r="Q10" s="39"/>
      <c r="R10" s="142"/>
      <c r="S10" s="143"/>
      <c r="T10" s="40"/>
      <c r="U10" s="40"/>
      <c r="V10" s="39"/>
    </row>
  </sheetData>
  <mergeCells count="12">
    <mergeCell ref="R2:T2"/>
    <mergeCell ref="U2:V2"/>
    <mergeCell ref="A1:B2"/>
    <mergeCell ref="C1:H1"/>
    <mergeCell ref="I1:N1"/>
    <mergeCell ref="O1:T1"/>
    <mergeCell ref="U1:V1"/>
    <mergeCell ref="C2:E2"/>
    <mergeCell ref="F2:H2"/>
    <mergeCell ref="I2:K2"/>
    <mergeCell ref="L2:N2"/>
    <mergeCell ref="O2:Q2"/>
  </mergeCells>
  <pageMargins left="0.7" right="0.7" top="0.75" bottom="0.75" header="0.3" footer="0.3"/>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706D9-6DF3-41E1-ADE7-B5105F818F04}">
  <dimension ref="A1:AP11"/>
  <sheetViews>
    <sheetView zoomScale="60" zoomScaleNormal="60" zoomScaleSheetLayoutView="102" workbookViewId="0">
      <pane xSplit="2" ySplit="3" topLeftCell="C4" activePane="bottomRight" state="frozen"/>
      <selection pane="topRight" activeCell="C1" sqref="C1"/>
      <selection pane="bottomLeft" activeCell="A7" sqref="A7"/>
      <selection pane="bottomRight" activeCell="B4" sqref="B4"/>
    </sheetView>
  </sheetViews>
  <sheetFormatPr baseColWidth="10" defaultColWidth="10.85546875" defaultRowHeight="19.5" x14ac:dyDescent="0.25"/>
  <cols>
    <col min="1" max="1" width="15" style="245" customWidth="1"/>
    <col min="2" max="2" width="34.28515625" style="271" customWidth="1"/>
    <col min="3" max="3" width="30.140625" style="389" customWidth="1"/>
    <col min="4" max="4" width="20.140625" style="264" customWidth="1"/>
    <col min="5" max="5" width="12.140625" style="390" customWidth="1"/>
    <col min="6" max="6" width="13" style="391" customWidth="1"/>
    <col min="7" max="7" width="16" style="392" customWidth="1"/>
    <col min="8" max="8" width="12.42578125" style="393" customWidth="1"/>
    <col min="9" max="9" width="22.28515625" style="389" customWidth="1"/>
    <col min="10" max="10" width="22.5703125" style="264" customWidth="1"/>
    <col min="11" max="11" width="14.7109375" style="390" customWidth="1"/>
    <col min="12" max="12" width="13" style="391" customWidth="1"/>
    <col min="13" max="13" width="16" style="392" customWidth="1"/>
    <col min="14" max="14" width="12.42578125" style="393" customWidth="1"/>
    <col min="15" max="15" width="18.28515625" style="389" customWidth="1"/>
    <col min="16" max="16" width="31.7109375" style="264" customWidth="1"/>
    <col min="17" max="17" width="12.140625" style="390" customWidth="1"/>
    <col min="18" max="18" width="13" style="391" customWidth="1"/>
    <col min="19" max="19" width="12.7109375" style="392" customWidth="1"/>
    <col min="20" max="21" width="12.42578125" style="393" customWidth="1"/>
    <col min="22" max="22" width="15.42578125" style="390" customWidth="1"/>
    <col min="23" max="23" width="13.42578125" style="245" customWidth="1"/>
    <col min="24" max="24" width="6.85546875" style="245" customWidth="1"/>
    <col min="25" max="25" width="4.7109375" style="245" customWidth="1"/>
    <col min="26" max="26" width="6.42578125" style="245" customWidth="1"/>
    <col min="27" max="27" width="5.7109375" style="245" customWidth="1"/>
    <col min="28" max="28" width="4.7109375" style="245" customWidth="1"/>
    <col min="29" max="30" width="6.140625" style="245" customWidth="1"/>
    <col min="31" max="31" width="7.140625" style="245" customWidth="1"/>
    <col min="32" max="33" width="10.85546875" style="245"/>
    <col min="34" max="34" width="20.7109375" style="245" customWidth="1"/>
    <col min="35" max="35" width="10.85546875" style="245"/>
    <col min="36" max="36" width="11.140625" style="245" bestFit="1" customWidth="1"/>
    <col min="37" max="37" width="11" style="245" bestFit="1" customWidth="1"/>
    <col min="38" max="38" width="22.85546875" style="245" customWidth="1"/>
    <col min="39" max="39" width="10.85546875" style="245"/>
    <col min="40" max="41" width="11" style="245" bestFit="1" customWidth="1"/>
    <col min="42" max="42" width="26.42578125" style="245" customWidth="1"/>
    <col min="43" max="43" width="10.85546875" style="245"/>
    <col min="44" max="45" width="11" style="245" bestFit="1" customWidth="1"/>
    <col min="46" max="16384" width="10.85546875" style="245"/>
  </cols>
  <sheetData>
    <row r="1" spans="1:42" ht="18" thickBot="1" x14ac:dyDescent="0.3">
      <c r="A1" s="601" t="s">
        <v>202</v>
      </c>
      <c r="B1" s="602"/>
      <c r="C1" s="482">
        <v>2016</v>
      </c>
      <c r="D1" s="483"/>
      <c r="E1" s="483"/>
      <c r="F1" s="483"/>
      <c r="G1" s="483"/>
      <c r="H1" s="483"/>
      <c r="I1" s="482">
        <v>2017</v>
      </c>
      <c r="J1" s="483"/>
      <c r="K1" s="483"/>
      <c r="L1" s="483"/>
      <c r="M1" s="483"/>
      <c r="N1" s="484"/>
      <c r="O1" s="482">
        <v>2018</v>
      </c>
      <c r="P1" s="483"/>
      <c r="Q1" s="483"/>
      <c r="R1" s="483"/>
      <c r="S1" s="483"/>
      <c r="T1" s="484"/>
      <c r="U1" s="605" t="s">
        <v>4</v>
      </c>
      <c r="V1" s="487"/>
      <c r="W1" s="268"/>
    </row>
    <row r="2" spans="1:42" s="268" customFormat="1" ht="67.5" customHeight="1" thickBot="1" x14ac:dyDescent="0.3">
      <c r="A2" s="603"/>
      <c r="B2" s="604"/>
      <c r="C2" s="495" t="s">
        <v>6</v>
      </c>
      <c r="D2" s="496"/>
      <c r="E2" s="496"/>
      <c r="F2" s="505" t="s">
        <v>7</v>
      </c>
      <c r="G2" s="489"/>
      <c r="H2" s="489"/>
      <c r="I2" s="495" t="s">
        <v>6</v>
      </c>
      <c r="J2" s="496"/>
      <c r="K2" s="496"/>
      <c r="L2" s="505" t="s">
        <v>7</v>
      </c>
      <c r="M2" s="489"/>
      <c r="N2" s="490"/>
      <c r="O2" s="495" t="s">
        <v>6</v>
      </c>
      <c r="P2" s="496"/>
      <c r="Q2" s="496"/>
      <c r="R2" s="505" t="s">
        <v>7</v>
      </c>
      <c r="S2" s="489"/>
      <c r="T2" s="490"/>
      <c r="U2" s="503" t="s">
        <v>8</v>
      </c>
      <c r="V2" s="504"/>
      <c r="W2" s="373"/>
    </row>
    <row r="3" spans="1:42" s="376" customFormat="1" ht="67.5" customHeight="1" thickBot="1" x14ac:dyDescent="0.3">
      <c r="A3" s="321" t="s">
        <v>10</v>
      </c>
      <c r="B3" s="424" t="s">
        <v>11</v>
      </c>
      <c r="C3" s="226" t="s">
        <v>177</v>
      </c>
      <c r="D3" s="227" t="s">
        <v>178</v>
      </c>
      <c r="E3" s="228" t="s">
        <v>179</v>
      </c>
      <c r="F3" s="226" t="s">
        <v>177</v>
      </c>
      <c r="G3" s="227" t="s">
        <v>178</v>
      </c>
      <c r="H3" s="425" t="s">
        <v>179</v>
      </c>
      <c r="I3" s="226" t="s">
        <v>177</v>
      </c>
      <c r="J3" s="227" t="s">
        <v>178</v>
      </c>
      <c r="K3" s="228" t="s">
        <v>179</v>
      </c>
      <c r="L3" s="226" t="s">
        <v>177</v>
      </c>
      <c r="M3" s="227" t="s">
        <v>178</v>
      </c>
      <c r="N3" s="229" t="s">
        <v>179</v>
      </c>
      <c r="O3" s="226" t="s">
        <v>177</v>
      </c>
      <c r="P3" s="227" t="s">
        <v>178</v>
      </c>
      <c r="Q3" s="228" t="s">
        <v>179</v>
      </c>
      <c r="R3" s="226" t="s">
        <v>177</v>
      </c>
      <c r="S3" s="227" t="s">
        <v>178</v>
      </c>
      <c r="T3" s="229" t="s">
        <v>179</v>
      </c>
      <c r="U3" s="426" t="s">
        <v>18</v>
      </c>
      <c r="V3" s="427" t="s">
        <v>19</v>
      </c>
      <c r="W3" s="375"/>
    </row>
    <row r="4" spans="1:42" ht="355.5" customHeight="1" thickTop="1" thickBot="1" x14ac:dyDescent="0.3">
      <c r="A4" s="428" t="s">
        <v>193</v>
      </c>
      <c r="B4" s="429" t="s">
        <v>164</v>
      </c>
      <c r="C4" s="430" t="s">
        <v>165</v>
      </c>
      <c r="D4" s="431" t="s">
        <v>166</v>
      </c>
      <c r="E4" s="432">
        <v>0.35</v>
      </c>
      <c r="F4" s="433">
        <v>7402.24</v>
      </c>
      <c r="G4" s="434">
        <v>279.68</v>
      </c>
      <c r="H4" s="435">
        <f>+G4/F4</f>
        <v>3.7783157530693411E-2</v>
      </c>
      <c r="I4" s="436" t="s">
        <v>165</v>
      </c>
      <c r="J4" s="437" t="s">
        <v>167</v>
      </c>
      <c r="K4" s="377">
        <v>0.35</v>
      </c>
      <c r="L4" s="606">
        <v>6818</v>
      </c>
      <c r="M4" s="608">
        <v>515.29999999999995</v>
      </c>
      <c r="N4" s="610">
        <f>+M4/L4</f>
        <v>7.5579348782634198E-2</v>
      </c>
      <c r="O4" s="436" t="s">
        <v>165</v>
      </c>
      <c r="P4" s="437" t="s">
        <v>168</v>
      </c>
      <c r="Q4" s="377">
        <v>0.3</v>
      </c>
      <c r="R4" s="606">
        <v>8922.5400000000009</v>
      </c>
      <c r="S4" s="608">
        <v>3182.93</v>
      </c>
      <c r="T4" s="610">
        <v>0.35670000000000002</v>
      </c>
      <c r="U4" s="378">
        <f>AVERAGE(E4,K4,Q4)</f>
        <v>0.33333333333333331</v>
      </c>
      <c r="V4" s="378">
        <f>AVERAGE(H4,N4,T4)</f>
        <v>0.15668750210444254</v>
      </c>
    </row>
    <row r="5" spans="1:42" ht="192.95" customHeight="1" thickTop="1" thickBot="1" x14ac:dyDescent="0.3">
      <c r="A5" s="428" t="s">
        <v>192</v>
      </c>
      <c r="B5" s="438" t="s">
        <v>169</v>
      </c>
      <c r="C5" s="439">
        <v>2</v>
      </c>
      <c r="D5" s="437" t="s">
        <v>170</v>
      </c>
      <c r="E5" s="432">
        <v>1</v>
      </c>
      <c r="F5" s="433">
        <v>79.31</v>
      </c>
      <c r="G5" s="434">
        <v>49.62</v>
      </c>
      <c r="H5" s="435">
        <f>+G5/F5</f>
        <v>0.62564619846173242</v>
      </c>
      <c r="I5" s="440">
        <v>14</v>
      </c>
      <c r="J5" s="441">
        <v>7</v>
      </c>
      <c r="K5" s="382">
        <v>0.5</v>
      </c>
      <c r="L5" s="607"/>
      <c r="M5" s="609"/>
      <c r="N5" s="611"/>
      <c r="O5" s="440">
        <v>14</v>
      </c>
      <c r="P5" s="441">
        <v>14</v>
      </c>
      <c r="Q5" s="382">
        <v>1</v>
      </c>
      <c r="R5" s="607"/>
      <c r="S5" s="609"/>
      <c r="T5" s="611"/>
      <c r="U5" s="378">
        <f>AVERAGE(E5,K5,Q5)</f>
        <v>0.83333333333333337</v>
      </c>
      <c r="V5" s="378">
        <f>AVERAGE(H5,N5,T5)</f>
        <v>0.62564619846173242</v>
      </c>
      <c r="AL5" s="442"/>
      <c r="AP5" s="443"/>
    </row>
    <row r="6" spans="1:42" x14ac:dyDescent="0.25">
      <c r="C6" s="383"/>
      <c r="D6" s="384"/>
      <c r="E6" s="385"/>
      <c r="F6" s="386"/>
      <c r="G6" s="387"/>
      <c r="H6" s="388"/>
      <c r="I6" s="383"/>
      <c r="J6" s="384"/>
      <c r="K6" s="385"/>
      <c r="L6" s="386"/>
      <c r="M6" s="387"/>
      <c r="N6" s="388"/>
      <c r="O6" s="383"/>
      <c r="P6" s="384"/>
      <c r="Q6" s="385"/>
      <c r="R6" s="386"/>
      <c r="S6" s="387"/>
      <c r="T6" s="388"/>
      <c r="U6" s="388"/>
      <c r="V6" s="385"/>
    </row>
    <row r="7" spans="1:42" x14ac:dyDescent="0.25">
      <c r="C7" s="383"/>
      <c r="D7" s="384"/>
      <c r="E7" s="385"/>
      <c r="F7" s="386"/>
      <c r="G7" s="387"/>
      <c r="H7" s="388"/>
      <c r="I7" s="383"/>
      <c r="J7" s="384"/>
      <c r="K7" s="385"/>
      <c r="L7" s="386"/>
      <c r="M7" s="387"/>
      <c r="N7" s="388"/>
      <c r="O7" s="383"/>
      <c r="P7" s="384"/>
      <c r="Q7" s="385"/>
      <c r="R7" s="386"/>
      <c r="S7" s="387"/>
      <c r="T7" s="388"/>
      <c r="U7" s="388"/>
      <c r="V7" s="385"/>
    </row>
    <row r="8" spans="1:42" x14ac:dyDescent="0.25">
      <c r="C8" s="383"/>
      <c r="D8" s="384"/>
      <c r="E8" s="385"/>
      <c r="F8" s="386"/>
      <c r="G8" s="387"/>
      <c r="H8" s="388"/>
      <c r="I8" s="383"/>
      <c r="J8" s="384"/>
      <c r="K8" s="385"/>
      <c r="L8" s="386"/>
      <c r="M8" s="387"/>
      <c r="N8" s="388"/>
      <c r="O8" s="383"/>
      <c r="P8" s="384"/>
      <c r="Q8" s="385"/>
      <c r="R8" s="386"/>
      <c r="S8" s="387"/>
      <c r="T8" s="388"/>
      <c r="U8" s="388"/>
      <c r="V8" s="385"/>
    </row>
    <row r="9" spans="1:42" x14ac:dyDescent="0.25">
      <c r="C9" s="383"/>
      <c r="D9" s="384"/>
      <c r="E9" s="385"/>
      <c r="F9" s="386"/>
      <c r="G9" s="387"/>
      <c r="H9" s="388"/>
      <c r="I9" s="383"/>
      <c r="J9" s="384"/>
      <c r="K9" s="385"/>
      <c r="L9" s="386"/>
      <c r="M9" s="387"/>
      <c r="N9" s="388"/>
      <c r="O9" s="383"/>
      <c r="P9" s="384"/>
      <c r="Q9" s="385"/>
      <c r="R9" s="386"/>
      <c r="S9" s="387"/>
      <c r="T9" s="388"/>
      <c r="U9" s="388"/>
      <c r="V9" s="385"/>
    </row>
    <row r="10" spans="1:42" x14ac:dyDescent="0.25">
      <c r="C10" s="383"/>
      <c r="D10" s="384"/>
      <c r="E10" s="385"/>
      <c r="F10" s="386"/>
      <c r="G10" s="387"/>
      <c r="H10" s="388"/>
      <c r="I10" s="383"/>
      <c r="J10" s="384"/>
      <c r="K10" s="385"/>
      <c r="L10" s="386"/>
      <c r="M10" s="387"/>
      <c r="N10" s="388"/>
      <c r="O10" s="383"/>
      <c r="P10" s="384"/>
      <c r="Q10" s="385"/>
      <c r="R10" s="386"/>
      <c r="S10" s="387"/>
      <c r="T10" s="388"/>
      <c r="U10" s="388"/>
      <c r="V10" s="385"/>
    </row>
    <row r="11" spans="1:42" x14ac:dyDescent="0.25">
      <c r="C11" s="383"/>
      <c r="D11" s="384"/>
      <c r="E11" s="385"/>
      <c r="F11" s="386"/>
      <c r="G11" s="387"/>
      <c r="H11" s="388"/>
      <c r="I11" s="383"/>
      <c r="J11" s="384"/>
      <c r="K11" s="385"/>
      <c r="L11" s="386"/>
      <c r="M11" s="387"/>
      <c r="N11" s="388"/>
      <c r="O11" s="383"/>
      <c r="P11" s="384"/>
      <c r="Q11" s="385"/>
      <c r="R11" s="386"/>
      <c r="S11" s="387"/>
      <c r="T11" s="388"/>
      <c r="U11" s="388"/>
      <c r="V11" s="385"/>
    </row>
  </sheetData>
  <mergeCells count="18">
    <mergeCell ref="T4:T5"/>
    <mergeCell ref="L4:L5"/>
    <mergeCell ref="M4:M5"/>
    <mergeCell ref="N4:N5"/>
    <mergeCell ref="R4:R5"/>
    <mergeCell ref="S4:S5"/>
    <mergeCell ref="A1:B2"/>
    <mergeCell ref="C1:H1"/>
    <mergeCell ref="I1:N1"/>
    <mergeCell ref="O1:T1"/>
    <mergeCell ref="U1:V1"/>
    <mergeCell ref="C2:E2"/>
    <mergeCell ref="F2:H2"/>
    <mergeCell ref="I2:K2"/>
    <mergeCell ref="L2:N2"/>
    <mergeCell ref="O2:Q2"/>
    <mergeCell ref="R2:T2"/>
    <mergeCell ref="U2:V2"/>
  </mergeCells>
  <pageMargins left="0.7" right="0.7" top="0.75" bottom="0.75" header="0.3" footer="0.3"/>
  <pageSetup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5E398-D185-4BDB-8364-E4E774817BE5}">
  <dimension ref="A1:AP10"/>
  <sheetViews>
    <sheetView zoomScale="70" zoomScaleNormal="70" zoomScaleSheetLayoutView="102" workbookViewId="0">
      <pane xSplit="2" ySplit="3" topLeftCell="C4" activePane="bottomRight" state="frozen"/>
      <selection pane="topRight" activeCell="C1" sqref="C1"/>
      <selection pane="bottomLeft" activeCell="A7" sqref="A7"/>
      <selection pane="bottomRight" activeCell="B4" sqref="B4"/>
    </sheetView>
  </sheetViews>
  <sheetFormatPr baseColWidth="10" defaultColWidth="10.85546875" defaultRowHeight="19.5" x14ac:dyDescent="0.25"/>
  <cols>
    <col min="1" max="1" width="15" style="245" customWidth="1"/>
    <col min="2" max="2" width="34.28515625" style="271" customWidth="1"/>
    <col min="3" max="3" width="23" style="389" customWidth="1"/>
    <col min="4" max="4" width="28.7109375" style="264" customWidth="1"/>
    <col min="5" max="5" width="12.140625" style="390" customWidth="1"/>
    <col min="6" max="6" width="13" style="391" customWidth="1"/>
    <col min="7" max="7" width="16" style="392" customWidth="1"/>
    <col min="8" max="8" width="12.42578125" style="393" customWidth="1"/>
    <col min="9" max="9" width="15.42578125" style="389" customWidth="1"/>
    <col min="10" max="10" width="18.7109375" style="264" customWidth="1"/>
    <col min="11" max="11" width="14.7109375" style="390" customWidth="1"/>
    <col min="12" max="12" width="13" style="391" customWidth="1"/>
    <col min="13" max="13" width="16" style="392" customWidth="1"/>
    <col min="14" max="14" width="12.42578125" style="393" customWidth="1"/>
    <col min="15" max="15" width="15.42578125" style="389" customWidth="1"/>
    <col min="16" max="16" width="28.7109375" style="264" customWidth="1"/>
    <col min="17" max="17" width="12.140625" style="390" customWidth="1"/>
    <col min="18" max="18" width="13" style="391" customWidth="1"/>
    <col min="19" max="19" width="12.7109375" style="392" customWidth="1"/>
    <col min="20" max="21" width="12.42578125" style="393" customWidth="1"/>
    <col min="22" max="22" width="15.42578125" style="390" customWidth="1"/>
    <col min="23" max="23" width="13.42578125" style="245" customWidth="1"/>
    <col min="24" max="24" width="6.85546875" style="245" customWidth="1"/>
    <col min="25" max="25" width="4.7109375" style="245" customWidth="1"/>
    <col min="26" max="26" width="6.42578125" style="245" customWidth="1"/>
    <col min="27" max="27" width="5.7109375" style="245" customWidth="1"/>
    <col min="28" max="28" width="4.7109375" style="245" customWidth="1"/>
    <col min="29" max="30" width="6.140625" style="245" customWidth="1"/>
    <col min="31" max="31" width="7.140625" style="245" customWidth="1"/>
    <col min="32" max="33" width="10.85546875" style="245"/>
    <col min="34" max="34" width="20.7109375" style="245" customWidth="1"/>
    <col min="35" max="35" width="10.85546875" style="245"/>
    <col min="36" max="36" width="11.140625" style="245" bestFit="1" customWidth="1"/>
    <col min="37" max="37" width="11" style="245" bestFit="1" customWidth="1"/>
    <col min="38" max="38" width="22.85546875" style="245" customWidth="1"/>
    <col min="39" max="39" width="10.85546875" style="245"/>
    <col min="40" max="41" width="11" style="245" bestFit="1" customWidth="1"/>
    <col min="42" max="42" width="26.42578125" style="245" customWidth="1"/>
    <col min="43" max="43" width="10.85546875" style="245"/>
    <col min="44" max="45" width="11" style="245" bestFit="1" customWidth="1"/>
    <col min="46" max="16384" width="10.85546875" style="245"/>
  </cols>
  <sheetData>
    <row r="1" spans="1:42" ht="61.5" customHeight="1" thickBot="1" x14ac:dyDescent="0.3">
      <c r="A1" s="612" t="s">
        <v>203</v>
      </c>
      <c r="B1" s="613"/>
      <c r="C1" s="482">
        <v>2016</v>
      </c>
      <c r="D1" s="483"/>
      <c r="E1" s="483"/>
      <c r="F1" s="483"/>
      <c r="G1" s="483"/>
      <c r="H1" s="484"/>
      <c r="I1" s="482">
        <v>2017</v>
      </c>
      <c r="J1" s="483"/>
      <c r="K1" s="483"/>
      <c r="L1" s="483"/>
      <c r="M1" s="483"/>
      <c r="N1" s="484"/>
      <c r="O1" s="482">
        <v>2018</v>
      </c>
      <c r="P1" s="483"/>
      <c r="Q1" s="483"/>
      <c r="R1" s="483"/>
      <c r="S1" s="483"/>
      <c r="T1" s="484"/>
      <c r="U1" s="605" t="s">
        <v>4</v>
      </c>
      <c r="V1" s="487"/>
      <c r="W1" s="268"/>
    </row>
    <row r="2" spans="1:42" s="268" customFormat="1" ht="61.5" customHeight="1" thickBot="1" x14ac:dyDescent="0.3">
      <c r="A2" s="614"/>
      <c r="B2" s="615"/>
      <c r="C2" s="495" t="s">
        <v>6</v>
      </c>
      <c r="D2" s="496"/>
      <c r="E2" s="496"/>
      <c r="F2" s="505" t="s">
        <v>7</v>
      </c>
      <c r="G2" s="489"/>
      <c r="H2" s="490"/>
      <c r="I2" s="495" t="s">
        <v>6</v>
      </c>
      <c r="J2" s="496"/>
      <c r="K2" s="496"/>
      <c r="L2" s="505" t="s">
        <v>7</v>
      </c>
      <c r="M2" s="489"/>
      <c r="N2" s="490"/>
      <c r="O2" s="495" t="s">
        <v>6</v>
      </c>
      <c r="P2" s="496"/>
      <c r="Q2" s="496"/>
      <c r="R2" s="505" t="s">
        <v>7</v>
      </c>
      <c r="S2" s="489"/>
      <c r="T2" s="490"/>
      <c r="U2" s="503" t="s">
        <v>8</v>
      </c>
      <c r="V2" s="504"/>
      <c r="W2" s="373"/>
    </row>
    <row r="3" spans="1:42" s="376" customFormat="1" ht="61.5" customHeight="1" thickBot="1" x14ac:dyDescent="0.3">
      <c r="A3" s="279" t="s">
        <v>10</v>
      </c>
      <c r="B3" s="424" t="s">
        <v>11</v>
      </c>
      <c r="C3" s="226" t="s">
        <v>177</v>
      </c>
      <c r="D3" s="227" t="s">
        <v>178</v>
      </c>
      <c r="E3" s="228" t="s">
        <v>179</v>
      </c>
      <c r="F3" s="226" t="s">
        <v>177</v>
      </c>
      <c r="G3" s="227" t="s">
        <v>178</v>
      </c>
      <c r="H3" s="229" t="s">
        <v>179</v>
      </c>
      <c r="I3" s="226" t="s">
        <v>177</v>
      </c>
      <c r="J3" s="227" t="s">
        <v>178</v>
      </c>
      <c r="K3" s="228" t="s">
        <v>179</v>
      </c>
      <c r="L3" s="226" t="s">
        <v>177</v>
      </c>
      <c r="M3" s="227" t="s">
        <v>178</v>
      </c>
      <c r="N3" s="229" t="s">
        <v>179</v>
      </c>
      <c r="O3" s="226" t="s">
        <v>177</v>
      </c>
      <c r="P3" s="227" t="s">
        <v>178</v>
      </c>
      <c r="Q3" s="228" t="s">
        <v>179</v>
      </c>
      <c r="R3" s="226" t="s">
        <v>177</v>
      </c>
      <c r="S3" s="227" t="s">
        <v>178</v>
      </c>
      <c r="T3" s="229" t="s">
        <v>179</v>
      </c>
      <c r="U3" s="426" t="s">
        <v>18</v>
      </c>
      <c r="V3" s="427" t="s">
        <v>19</v>
      </c>
      <c r="W3" s="375"/>
    </row>
    <row r="4" spans="1:42" ht="408.75" customHeight="1" thickTop="1" thickBot="1" x14ac:dyDescent="0.3">
      <c r="A4" s="428" t="s">
        <v>192</v>
      </c>
      <c r="B4" s="444" t="s">
        <v>171</v>
      </c>
      <c r="C4" s="379" t="s">
        <v>172</v>
      </c>
      <c r="D4" s="445" t="s">
        <v>173</v>
      </c>
      <c r="E4" s="380">
        <v>0.7</v>
      </c>
      <c r="F4" s="446">
        <v>363.8</v>
      </c>
      <c r="G4" s="447">
        <v>187.1</v>
      </c>
      <c r="H4" s="381">
        <f>+G4/F4</f>
        <v>0.51429356789444747</v>
      </c>
      <c r="I4" s="379" t="s">
        <v>172</v>
      </c>
      <c r="J4" s="445" t="s">
        <v>204</v>
      </c>
      <c r="K4" s="382">
        <v>0.85</v>
      </c>
      <c r="L4" s="448">
        <v>256</v>
      </c>
      <c r="M4" s="449">
        <v>206.9</v>
      </c>
      <c r="N4" s="450">
        <f>+M4/L4</f>
        <v>0.80820312500000002</v>
      </c>
      <c r="O4" s="379" t="s">
        <v>172</v>
      </c>
      <c r="P4" s="445" t="s">
        <v>175</v>
      </c>
      <c r="Q4" s="382">
        <v>0.6</v>
      </c>
      <c r="R4" s="448">
        <v>1611.45</v>
      </c>
      <c r="S4" s="449">
        <v>203.17</v>
      </c>
      <c r="T4" s="450">
        <v>0.13</v>
      </c>
      <c r="U4" s="451">
        <f>AVERAGE(E4,K4,Q4)</f>
        <v>0.71666666666666667</v>
      </c>
      <c r="V4" s="452">
        <f>AVERAGE(H4,N4,T4)</f>
        <v>0.48416556429814922</v>
      </c>
      <c r="AP4" s="453"/>
    </row>
    <row r="5" spans="1:42" x14ac:dyDescent="0.25">
      <c r="C5" s="383"/>
      <c r="D5" s="384"/>
      <c r="E5" s="385"/>
      <c r="F5" s="386"/>
      <c r="G5" s="387"/>
      <c r="H5" s="388"/>
      <c r="I5" s="383"/>
      <c r="J5" s="384"/>
      <c r="K5" s="385"/>
      <c r="L5" s="386"/>
      <c r="M5" s="387"/>
      <c r="N5" s="388"/>
      <c r="O5" s="383"/>
      <c r="P5" s="384"/>
      <c r="Q5" s="385"/>
      <c r="R5" s="386"/>
      <c r="S5" s="387"/>
      <c r="T5" s="388"/>
      <c r="U5" s="388"/>
      <c r="V5" s="385"/>
    </row>
    <row r="6" spans="1:42" x14ac:dyDescent="0.25">
      <c r="C6" s="383"/>
      <c r="D6" s="384"/>
      <c r="E6" s="385"/>
      <c r="F6" s="386"/>
      <c r="G6" s="387"/>
      <c r="H6" s="388"/>
      <c r="I6" s="383"/>
      <c r="J6" s="384"/>
      <c r="K6" s="385"/>
      <c r="L6" s="386"/>
      <c r="M6" s="387"/>
      <c r="N6" s="388"/>
      <c r="O6" s="383"/>
      <c r="P6" s="384"/>
      <c r="Q6" s="385"/>
      <c r="R6" s="386"/>
      <c r="S6" s="387"/>
      <c r="T6" s="388"/>
      <c r="U6" s="388"/>
      <c r="V6" s="385"/>
    </row>
    <row r="7" spans="1:42" x14ac:dyDescent="0.25">
      <c r="C7" s="383"/>
      <c r="D7" s="384"/>
      <c r="E7" s="385"/>
      <c r="F7" s="386"/>
      <c r="G7" s="387"/>
      <c r="H7" s="388"/>
      <c r="I7" s="383"/>
      <c r="J7" s="384"/>
      <c r="K7" s="385"/>
      <c r="L7" s="386"/>
      <c r="M7" s="387"/>
      <c r="N7" s="388"/>
      <c r="O7" s="383"/>
      <c r="P7" s="384"/>
      <c r="Q7" s="385"/>
      <c r="R7" s="386"/>
      <c r="S7" s="387"/>
      <c r="T7" s="388"/>
      <c r="U7" s="388"/>
      <c r="V7" s="385"/>
    </row>
    <row r="8" spans="1:42" x14ac:dyDescent="0.25">
      <c r="C8" s="383"/>
      <c r="D8" s="384"/>
      <c r="E8" s="385"/>
      <c r="F8" s="386"/>
      <c r="G8" s="387"/>
      <c r="H8" s="388"/>
      <c r="I8" s="383"/>
      <c r="J8" s="384"/>
      <c r="K8" s="385"/>
      <c r="L8" s="386"/>
      <c r="M8" s="387"/>
      <c r="N8" s="388"/>
      <c r="O8" s="383"/>
      <c r="P8" s="384"/>
      <c r="Q8" s="385"/>
      <c r="R8" s="386"/>
      <c r="S8" s="387"/>
      <c r="T8" s="388"/>
      <c r="U8" s="388"/>
      <c r="V8" s="385"/>
    </row>
    <row r="9" spans="1:42" x14ac:dyDescent="0.25">
      <c r="C9" s="383"/>
      <c r="D9" s="384"/>
      <c r="E9" s="385"/>
      <c r="F9" s="386"/>
      <c r="G9" s="387"/>
      <c r="H9" s="388"/>
      <c r="I9" s="383"/>
      <c r="J9" s="384"/>
      <c r="K9" s="385"/>
      <c r="L9" s="386"/>
      <c r="M9" s="387"/>
      <c r="N9" s="388"/>
      <c r="O9" s="383"/>
      <c r="P9" s="384"/>
      <c r="Q9" s="385"/>
      <c r="R9" s="386"/>
      <c r="S9" s="387"/>
      <c r="T9" s="388"/>
      <c r="U9" s="388"/>
      <c r="V9" s="385"/>
    </row>
    <row r="10" spans="1:42" x14ac:dyDescent="0.25">
      <c r="C10" s="383"/>
      <c r="D10" s="384"/>
      <c r="E10" s="385"/>
      <c r="F10" s="386"/>
      <c r="G10" s="387"/>
      <c r="H10" s="388"/>
      <c r="I10" s="383"/>
      <c r="J10" s="384"/>
      <c r="K10" s="385"/>
      <c r="L10" s="386"/>
      <c r="M10" s="387"/>
      <c r="N10" s="388"/>
      <c r="O10" s="383"/>
      <c r="P10" s="384"/>
      <c r="Q10" s="385"/>
      <c r="R10" s="386"/>
      <c r="S10" s="387"/>
      <c r="T10" s="388"/>
      <c r="U10" s="388"/>
      <c r="V10" s="385"/>
    </row>
  </sheetData>
  <mergeCells count="12">
    <mergeCell ref="R2:T2"/>
    <mergeCell ref="U2:V2"/>
    <mergeCell ref="A1:B2"/>
    <mergeCell ref="C1:H1"/>
    <mergeCell ref="I1:N1"/>
    <mergeCell ref="O1:T1"/>
    <mergeCell ref="U1:V1"/>
    <mergeCell ref="C2:E2"/>
    <mergeCell ref="F2:H2"/>
    <mergeCell ref="I2:K2"/>
    <mergeCell ref="L2:N2"/>
    <mergeCell ref="O2:Q2"/>
  </mergeCells>
  <pageMargins left="0.7" right="0.7" top="0.75" bottom="0.75" header="0.3" footer="0.3"/>
  <pageSetup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7795A-4AB7-462C-BDFF-9AF7522F481D}">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E42F7-3B42-4319-AAA2-C095B68BCDFC}">
  <dimension ref="A1:F77"/>
  <sheetViews>
    <sheetView view="pageBreakPreview" zoomScale="130" zoomScaleNormal="100" zoomScaleSheetLayoutView="130" workbookViewId="0">
      <pane ySplit="2" topLeftCell="A16" activePane="bottomLeft" state="frozen"/>
      <selection pane="bottomLeft" activeCell="C16" sqref="C16"/>
    </sheetView>
  </sheetViews>
  <sheetFormatPr baseColWidth="10" defaultRowHeight="16.5" x14ac:dyDescent="0.25"/>
  <cols>
    <col min="1" max="1" width="31.28515625" style="635" customWidth="1"/>
    <col min="2" max="2" width="17.42578125" style="635" customWidth="1"/>
    <col min="3" max="3" width="34.85546875" style="635" customWidth="1"/>
    <col min="4" max="4" width="15.5703125" style="636" customWidth="1"/>
    <col min="5" max="5" width="19.28515625" style="635" bestFit="1" customWidth="1"/>
    <col min="6" max="6" width="14.42578125" style="635" bestFit="1" customWidth="1"/>
    <col min="7" max="16384" width="11.42578125" style="635"/>
  </cols>
  <sheetData>
    <row r="1" spans="1:5" s="690" customFormat="1" ht="36.75" customHeight="1" thickBot="1" x14ac:dyDescent="0.3">
      <c r="A1" s="693" t="s">
        <v>309</v>
      </c>
      <c r="B1" s="692"/>
      <c r="C1" s="692"/>
      <c r="D1" s="692"/>
      <c r="E1" s="691"/>
    </row>
    <row r="2" spans="1:5" s="686" customFormat="1" ht="33" customHeight="1" x14ac:dyDescent="0.25">
      <c r="A2" s="689" t="s">
        <v>308</v>
      </c>
      <c r="B2" s="688" t="s">
        <v>307</v>
      </c>
      <c r="C2" s="688" t="s">
        <v>306</v>
      </c>
      <c r="D2" s="688" t="s">
        <v>305</v>
      </c>
      <c r="E2" s="687" t="s">
        <v>304</v>
      </c>
    </row>
    <row r="3" spans="1:5" s="639" customFormat="1" ht="95.25" customHeight="1" x14ac:dyDescent="0.25">
      <c r="A3" s="672" t="s">
        <v>303</v>
      </c>
      <c r="B3" s="651" t="s">
        <v>261</v>
      </c>
      <c r="C3" s="651" t="s">
        <v>302</v>
      </c>
      <c r="D3" s="651">
        <v>645</v>
      </c>
      <c r="E3" s="671">
        <v>8413370</v>
      </c>
    </row>
    <row r="4" spans="1:5" s="639" customFormat="1" ht="126.75" customHeight="1" x14ac:dyDescent="0.25">
      <c r="A4" s="672"/>
      <c r="B4" s="658" t="s">
        <v>253</v>
      </c>
      <c r="C4" s="658" t="s">
        <v>301</v>
      </c>
      <c r="D4" s="651">
        <v>187</v>
      </c>
      <c r="E4" s="671">
        <f>391310150-200000000-166000000</f>
        <v>25310150</v>
      </c>
    </row>
    <row r="5" spans="1:5" s="639" customFormat="1" ht="93.75" customHeight="1" x14ac:dyDescent="0.25">
      <c r="A5" s="672"/>
      <c r="B5" s="658" t="s">
        <v>257</v>
      </c>
      <c r="C5" s="658" t="s">
        <v>300</v>
      </c>
      <c r="D5" s="651">
        <v>5516</v>
      </c>
      <c r="E5" s="671">
        <v>151960250</v>
      </c>
    </row>
    <row r="6" spans="1:5" s="639" customFormat="1" ht="100.5" customHeight="1" x14ac:dyDescent="0.25">
      <c r="A6" s="672"/>
      <c r="B6" s="658" t="s">
        <v>253</v>
      </c>
      <c r="C6" s="658" t="s">
        <v>299</v>
      </c>
      <c r="D6" s="651">
        <v>52</v>
      </c>
      <c r="E6" s="671">
        <v>6173600</v>
      </c>
    </row>
    <row r="7" spans="1:5" s="639" customFormat="1" ht="99.75" customHeight="1" x14ac:dyDescent="0.25">
      <c r="A7" s="672"/>
      <c r="B7" s="651" t="s">
        <v>261</v>
      </c>
      <c r="C7" s="658" t="s">
        <v>298</v>
      </c>
      <c r="D7" s="651">
        <v>14</v>
      </c>
      <c r="E7" s="671">
        <f>494096000-30000000</f>
        <v>464096000</v>
      </c>
    </row>
    <row r="8" spans="1:5" s="639" customFormat="1" ht="92.25" customHeight="1" x14ac:dyDescent="0.25">
      <c r="A8" s="672"/>
      <c r="B8" s="658" t="s">
        <v>297</v>
      </c>
      <c r="C8" s="658" t="s">
        <v>296</v>
      </c>
      <c r="D8" s="651">
        <v>4825</v>
      </c>
      <c r="E8" s="671">
        <v>4339365</v>
      </c>
    </row>
    <row r="9" spans="1:5" s="639" customFormat="1" ht="132.75" customHeight="1" x14ac:dyDescent="0.25">
      <c r="A9" s="672"/>
      <c r="B9" s="658" t="s">
        <v>253</v>
      </c>
      <c r="C9" s="658" t="s">
        <v>295</v>
      </c>
      <c r="D9" s="651">
        <v>11</v>
      </c>
      <c r="E9" s="671">
        <v>36483600</v>
      </c>
    </row>
    <row r="10" spans="1:5" s="639" customFormat="1" ht="131.25" customHeight="1" x14ac:dyDescent="0.25">
      <c r="A10" s="672"/>
      <c r="B10" s="658" t="s">
        <v>253</v>
      </c>
      <c r="C10" s="658" t="s">
        <v>294</v>
      </c>
      <c r="D10" s="651">
        <v>5</v>
      </c>
      <c r="E10" s="671">
        <v>46000000</v>
      </c>
    </row>
    <row r="11" spans="1:5" s="639" customFormat="1" ht="86.25" customHeight="1" x14ac:dyDescent="0.25">
      <c r="A11" s="672"/>
      <c r="B11" s="658" t="s">
        <v>255</v>
      </c>
      <c r="C11" s="658" t="s">
        <v>293</v>
      </c>
      <c r="D11" s="651">
        <v>2835</v>
      </c>
      <c r="E11" s="671">
        <v>30176650</v>
      </c>
    </row>
    <row r="12" spans="1:5" s="639" customFormat="1" ht="95.25" customHeight="1" x14ac:dyDescent="0.25">
      <c r="A12" s="672"/>
      <c r="B12" s="658" t="s">
        <v>255</v>
      </c>
      <c r="C12" s="658" t="s">
        <v>292</v>
      </c>
      <c r="D12" s="651">
        <v>120</v>
      </c>
      <c r="E12" s="671">
        <v>20000000</v>
      </c>
    </row>
    <row r="13" spans="1:5" s="639" customFormat="1" ht="78.75" customHeight="1" thickBot="1" x14ac:dyDescent="0.3">
      <c r="A13" s="670"/>
      <c r="B13" s="685" t="s">
        <v>291</v>
      </c>
      <c r="C13" s="682" t="s">
        <v>290</v>
      </c>
      <c r="D13" s="667">
        <v>0</v>
      </c>
      <c r="E13" s="666">
        <v>0</v>
      </c>
    </row>
    <row r="14" spans="1:5" s="639" customFormat="1" ht="81.75" customHeight="1" x14ac:dyDescent="0.25">
      <c r="A14" s="681" t="s">
        <v>289</v>
      </c>
      <c r="B14" s="661" t="s">
        <v>255</v>
      </c>
      <c r="C14" s="661" t="s">
        <v>288</v>
      </c>
      <c r="D14" s="646">
        <v>75</v>
      </c>
      <c r="E14" s="680">
        <v>501000</v>
      </c>
    </row>
    <row r="15" spans="1:5" s="639" customFormat="1" ht="86.25" customHeight="1" x14ac:dyDescent="0.25">
      <c r="A15" s="672"/>
      <c r="B15" s="658" t="s">
        <v>261</v>
      </c>
      <c r="C15" s="658" t="s">
        <v>287</v>
      </c>
      <c r="D15" s="651">
        <v>5</v>
      </c>
      <c r="E15" s="671">
        <v>0</v>
      </c>
    </row>
    <row r="16" spans="1:5" s="639" customFormat="1" ht="90.75" customHeight="1" thickBot="1" x14ac:dyDescent="0.3">
      <c r="A16" s="679"/>
      <c r="B16" s="655" t="s">
        <v>261</v>
      </c>
      <c r="C16" s="655" t="s">
        <v>286</v>
      </c>
      <c r="D16" s="641">
        <v>20</v>
      </c>
      <c r="E16" s="678">
        <v>0</v>
      </c>
    </row>
    <row r="17" spans="1:6" s="639" customFormat="1" ht="126.75" customHeight="1" x14ac:dyDescent="0.25">
      <c r="A17" s="677" t="s">
        <v>285</v>
      </c>
      <c r="B17" s="683" t="s">
        <v>284</v>
      </c>
      <c r="C17" s="683" t="s">
        <v>283</v>
      </c>
      <c r="D17" s="674">
        <v>1601</v>
      </c>
      <c r="E17" s="673">
        <f>1093899640-300000000</f>
        <v>793899640</v>
      </c>
    </row>
    <row r="18" spans="1:6" s="639" customFormat="1" ht="87.75" customHeight="1" x14ac:dyDescent="0.25">
      <c r="A18" s="672"/>
      <c r="B18" s="658" t="s">
        <v>261</v>
      </c>
      <c r="C18" s="658" t="s">
        <v>282</v>
      </c>
      <c r="D18" s="651">
        <v>8</v>
      </c>
      <c r="E18" s="671">
        <v>27017200</v>
      </c>
    </row>
    <row r="19" spans="1:6" s="639" customFormat="1" ht="85.5" customHeight="1" x14ac:dyDescent="0.25">
      <c r="A19" s="672"/>
      <c r="B19" s="658" t="s">
        <v>253</v>
      </c>
      <c r="C19" s="658" t="s">
        <v>281</v>
      </c>
      <c r="D19" s="651">
        <v>1</v>
      </c>
      <c r="E19" s="671">
        <v>1200000</v>
      </c>
    </row>
    <row r="20" spans="1:6" s="639" customFormat="1" ht="93.75" customHeight="1" x14ac:dyDescent="0.25">
      <c r="A20" s="672"/>
      <c r="B20" s="658" t="s">
        <v>253</v>
      </c>
      <c r="C20" s="658" t="s">
        <v>280</v>
      </c>
      <c r="D20" s="651">
        <v>9</v>
      </c>
      <c r="E20" s="671">
        <v>8880000</v>
      </c>
    </row>
    <row r="21" spans="1:6" s="639" customFormat="1" ht="63" customHeight="1" x14ac:dyDescent="0.25">
      <c r="A21" s="672"/>
      <c r="B21" s="658" t="s">
        <v>255</v>
      </c>
      <c r="C21" s="658" t="s">
        <v>279</v>
      </c>
      <c r="D21" s="651">
        <v>220</v>
      </c>
      <c r="E21" s="671">
        <v>648000</v>
      </c>
    </row>
    <row r="22" spans="1:6" s="639" customFormat="1" ht="75.75" customHeight="1" x14ac:dyDescent="0.25">
      <c r="A22" s="672"/>
      <c r="B22" s="658" t="s">
        <v>261</v>
      </c>
      <c r="C22" s="658" t="s">
        <v>278</v>
      </c>
      <c r="D22" s="651">
        <v>80</v>
      </c>
      <c r="E22" s="671">
        <v>46850</v>
      </c>
    </row>
    <row r="23" spans="1:6" s="639" customFormat="1" ht="81.75" customHeight="1" thickBot="1" x14ac:dyDescent="0.3">
      <c r="A23" s="670"/>
      <c r="B23" s="682" t="s">
        <v>261</v>
      </c>
      <c r="C23" s="682" t="s">
        <v>277</v>
      </c>
      <c r="D23" s="667">
        <v>3</v>
      </c>
      <c r="E23" s="666">
        <v>250</v>
      </c>
      <c r="F23" s="684"/>
    </row>
    <row r="24" spans="1:6" s="639" customFormat="1" ht="82.5" customHeight="1" x14ac:dyDescent="0.25">
      <c r="A24" s="681" t="s">
        <v>276</v>
      </c>
      <c r="B24" s="661" t="s">
        <v>270</v>
      </c>
      <c r="C24" s="661" t="s">
        <v>275</v>
      </c>
      <c r="D24" s="646">
        <v>3925</v>
      </c>
      <c r="E24" s="680">
        <v>10268100</v>
      </c>
    </row>
    <row r="25" spans="1:6" s="639" customFormat="1" ht="102" customHeight="1" x14ac:dyDescent="0.25">
      <c r="A25" s="672"/>
      <c r="B25" s="658" t="s">
        <v>270</v>
      </c>
      <c r="C25" s="658" t="s">
        <v>274</v>
      </c>
      <c r="D25" s="651">
        <v>8280</v>
      </c>
      <c r="E25" s="671">
        <v>17113800</v>
      </c>
    </row>
    <row r="26" spans="1:6" s="639" customFormat="1" ht="119.25" customHeight="1" x14ac:dyDescent="0.25">
      <c r="A26" s="672"/>
      <c r="B26" s="658" t="s">
        <v>255</v>
      </c>
      <c r="C26" s="658" t="s">
        <v>273</v>
      </c>
      <c r="D26" s="651">
        <v>220</v>
      </c>
      <c r="E26" s="671">
        <v>886100</v>
      </c>
    </row>
    <row r="27" spans="1:6" s="639" customFormat="1" ht="78.75" customHeight="1" x14ac:dyDescent="0.25">
      <c r="A27" s="672"/>
      <c r="B27" s="658" t="s">
        <v>270</v>
      </c>
      <c r="C27" s="658" t="s">
        <v>272</v>
      </c>
      <c r="D27" s="651">
        <v>450</v>
      </c>
      <c r="E27" s="671">
        <f>100000000-100000000</f>
        <v>0</v>
      </c>
    </row>
    <row r="28" spans="1:6" s="639" customFormat="1" ht="58.5" customHeight="1" x14ac:dyDescent="0.25">
      <c r="A28" s="672"/>
      <c r="B28" s="658" t="s">
        <v>270</v>
      </c>
      <c r="C28" s="658" t="s">
        <v>271</v>
      </c>
      <c r="D28" s="651">
        <v>19</v>
      </c>
      <c r="E28" s="671">
        <v>2181050</v>
      </c>
    </row>
    <row r="29" spans="1:6" s="639" customFormat="1" ht="94.5" customHeight="1" x14ac:dyDescent="0.25">
      <c r="A29" s="672"/>
      <c r="B29" s="658" t="s">
        <v>270</v>
      </c>
      <c r="C29" s="658" t="s">
        <v>269</v>
      </c>
      <c r="D29" s="651">
        <v>615</v>
      </c>
      <c r="E29" s="671">
        <v>486647652</v>
      </c>
    </row>
    <row r="30" spans="1:6" s="639" customFormat="1" ht="104.25" customHeight="1" x14ac:dyDescent="0.25">
      <c r="A30" s="672"/>
      <c r="B30" s="658" t="s">
        <v>253</v>
      </c>
      <c r="C30" s="658" t="s">
        <v>268</v>
      </c>
      <c r="D30" s="651">
        <v>4</v>
      </c>
      <c r="E30" s="671">
        <v>2400000</v>
      </c>
    </row>
    <row r="31" spans="1:6" s="639" customFormat="1" ht="100.5" customHeight="1" thickBot="1" x14ac:dyDescent="0.3">
      <c r="A31" s="679"/>
      <c r="B31" s="655" t="s">
        <v>261</v>
      </c>
      <c r="C31" s="655" t="s">
        <v>267</v>
      </c>
      <c r="D31" s="641">
        <v>42</v>
      </c>
      <c r="E31" s="678">
        <v>5027000</v>
      </c>
    </row>
    <row r="32" spans="1:6" s="639" customFormat="1" ht="99" customHeight="1" x14ac:dyDescent="0.25">
      <c r="A32" s="677" t="s">
        <v>266</v>
      </c>
      <c r="B32" s="683" t="s">
        <v>255</v>
      </c>
      <c r="C32" s="683" t="s">
        <v>265</v>
      </c>
      <c r="D32" s="674">
        <v>10350</v>
      </c>
      <c r="E32" s="673">
        <v>270621072</v>
      </c>
    </row>
    <row r="33" spans="1:5" s="639" customFormat="1" ht="173.25" customHeight="1" x14ac:dyDescent="0.25">
      <c r="A33" s="672"/>
      <c r="B33" s="658" t="s">
        <v>255</v>
      </c>
      <c r="C33" s="658" t="s">
        <v>264</v>
      </c>
      <c r="D33" s="651">
        <v>509</v>
      </c>
      <c r="E33" s="671">
        <v>31973462</v>
      </c>
    </row>
    <row r="34" spans="1:5" s="639" customFormat="1" ht="85.5" customHeight="1" x14ac:dyDescent="0.25">
      <c r="A34" s="672"/>
      <c r="B34" s="658" t="s">
        <v>261</v>
      </c>
      <c r="C34" s="658" t="s">
        <v>263</v>
      </c>
      <c r="D34" s="651">
        <v>85</v>
      </c>
      <c r="E34" s="671">
        <v>168000</v>
      </c>
    </row>
    <row r="35" spans="1:5" s="639" customFormat="1" ht="173.25" customHeight="1" x14ac:dyDescent="0.25">
      <c r="A35" s="672"/>
      <c r="B35" s="658" t="s">
        <v>261</v>
      </c>
      <c r="C35" s="658" t="s">
        <v>262</v>
      </c>
      <c r="D35" s="651">
        <v>36</v>
      </c>
      <c r="E35" s="671">
        <v>1760350</v>
      </c>
    </row>
    <row r="36" spans="1:5" s="639" customFormat="1" ht="156" customHeight="1" thickBot="1" x14ac:dyDescent="0.3">
      <c r="A36" s="670"/>
      <c r="B36" s="682" t="s">
        <v>261</v>
      </c>
      <c r="C36" s="682" t="s">
        <v>260</v>
      </c>
      <c r="D36" s="667">
        <v>1</v>
      </c>
      <c r="E36" s="666">
        <v>691350</v>
      </c>
    </row>
    <row r="37" spans="1:5" s="639" customFormat="1" ht="101.25" customHeight="1" x14ac:dyDescent="0.25">
      <c r="A37" s="681" t="s">
        <v>259</v>
      </c>
      <c r="B37" s="661" t="s">
        <v>255</v>
      </c>
      <c r="C37" s="661" t="s">
        <v>258</v>
      </c>
      <c r="D37" s="646">
        <v>140</v>
      </c>
      <c r="E37" s="680">
        <v>2354000</v>
      </c>
    </row>
    <row r="38" spans="1:5" s="639" customFormat="1" ht="110.25" customHeight="1" x14ac:dyDescent="0.25">
      <c r="A38" s="672"/>
      <c r="B38" s="658" t="s">
        <v>257</v>
      </c>
      <c r="C38" s="658" t="s">
        <v>256</v>
      </c>
      <c r="D38" s="651">
        <v>75</v>
      </c>
      <c r="E38" s="671">
        <v>50000</v>
      </c>
    </row>
    <row r="39" spans="1:5" s="639" customFormat="1" ht="147" customHeight="1" x14ac:dyDescent="0.25">
      <c r="A39" s="672"/>
      <c r="B39" s="658" t="s">
        <v>255</v>
      </c>
      <c r="C39" s="658" t="s">
        <v>254</v>
      </c>
      <c r="D39" s="651">
        <v>900</v>
      </c>
      <c r="E39" s="671">
        <v>220050</v>
      </c>
    </row>
    <row r="40" spans="1:5" s="639" customFormat="1" ht="173.25" customHeight="1" thickBot="1" x14ac:dyDescent="0.3">
      <c r="A40" s="679"/>
      <c r="B40" s="655" t="s">
        <v>253</v>
      </c>
      <c r="C40" s="655" t="s">
        <v>252</v>
      </c>
      <c r="D40" s="641">
        <v>6</v>
      </c>
      <c r="E40" s="678">
        <v>200000</v>
      </c>
    </row>
    <row r="41" spans="1:5" s="639" customFormat="1" ht="78" customHeight="1" x14ac:dyDescent="0.25">
      <c r="A41" s="677" t="s">
        <v>251</v>
      </c>
      <c r="B41" s="676" t="s">
        <v>245</v>
      </c>
      <c r="C41" s="675" t="s">
        <v>250</v>
      </c>
      <c r="D41" s="674"/>
      <c r="E41" s="673">
        <v>52150000</v>
      </c>
    </row>
    <row r="42" spans="1:5" s="639" customFormat="1" ht="53.25" customHeight="1" x14ac:dyDescent="0.25">
      <c r="A42" s="672"/>
      <c r="B42" s="653" t="s">
        <v>245</v>
      </c>
      <c r="C42" s="652" t="s">
        <v>249</v>
      </c>
      <c r="D42" s="651"/>
      <c r="E42" s="671">
        <v>6000000</v>
      </c>
    </row>
    <row r="43" spans="1:5" s="639" customFormat="1" ht="60" customHeight="1" x14ac:dyDescent="0.25">
      <c r="A43" s="672"/>
      <c r="B43" s="653" t="s">
        <v>245</v>
      </c>
      <c r="C43" s="652" t="s">
        <v>248</v>
      </c>
      <c r="D43" s="651"/>
      <c r="E43" s="671">
        <v>44200000</v>
      </c>
    </row>
    <row r="44" spans="1:5" s="639" customFormat="1" ht="44.25" customHeight="1" x14ac:dyDescent="0.25">
      <c r="A44" s="672"/>
      <c r="B44" s="653" t="s">
        <v>245</v>
      </c>
      <c r="C44" s="652" t="s">
        <v>247</v>
      </c>
      <c r="D44" s="651"/>
      <c r="E44" s="671">
        <v>64500000</v>
      </c>
    </row>
    <row r="45" spans="1:5" s="639" customFormat="1" ht="69" customHeight="1" x14ac:dyDescent="0.25">
      <c r="A45" s="672"/>
      <c r="B45" s="653" t="s">
        <v>245</v>
      </c>
      <c r="C45" s="652" t="s">
        <v>246</v>
      </c>
      <c r="D45" s="651"/>
      <c r="E45" s="671">
        <v>0</v>
      </c>
    </row>
    <row r="46" spans="1:5" s="639" customFormat="1" ht="72.75" customHeight="1" x14ac:dyDescent="0.25">
      <c r="A46" s="672"/>
      <c r="B46" s="653" t="s">
        <v>245</v>
      </c>
      <c r="C46" s="652" t="s">
        <v>244</v>
      </c>
      <c r="D46" s="651"/>
      <c r="E46" s="671">
        <v>0</v>
      </c>
    </row>
    <row r="47" spans="1:5" s="639" customFormat="1" ht="45.75" customHeight="1" x14ac:dyDescent="0.25">
      <c r="A47" s="672"/>
      <c r="B47" s="653" t="s">
        <v>239</v>
      </c>
      <c r="C47" s="652" t="s">
        <v>243</v>
      </c>
      <c r="D47" s="651"/>
      <c r="E47" s="671">
        <v>57100000</v>
      </c>
    </row>
    <row r="48" spans="1:5" s="639" customFormat="1" ht="90.75" customHeight="1" x14ac:dyDescent="0.25">
      <c r="A48" s="672"/>
      <c r="B48" s="653" t="s">
        <v>239</v>
      </c>
      <c r="C48" s="652" t="s">
        <v>242</v>
      </c>
      <c r="D48" s="651"/>
      <c r="E48" s="671">
        <v>2078772000</v>
      </c>
    </row>
    <row r="49" spans="1:5" s="639" customFormat="1" ht="54.75" customHeight="1" x14ac:dyDescent="0.25">
      <c r="A49" s="672"/>
      <c r="B49" s="653" t="s">
        <v>239</v>
      </c>
      <c r="C49" s="652" t="s">
        <v>241</v>
      </c>
      <c r="D49" s="651"/>
      <c r="E49" s="671">
        <v>6462000000</v>
      </c>
    </row>
    <row r="50" spans="1:5" s="639" customFormat="1" ht="57" customHeight="1" x14ac:dyDescent="0.25">
      <c r="A50" s="672"/>
      <c r="B50" s="653" t="s">
        <v>239</v>
      </c>
      <c r="C50" s="652" t="s">
        <v>240</v>
      </c>
      <c r="D50" s="651"/>
      <c r="E50" s="671">
        <v>66300000</v>
      </c>
    </row>
    <row r="51" spans="1:5" s="639" customFormat="1" ht="55.5" customHeight="1" thickBot="1" x14ac:dyDescent="0.3">
      <c r="A51" s="670"/>
      <c r="B51" s="669" t="s">
        <v>239</v>
      </c>
      <c r="C51" s="668" t="s">
        <v>238</v>
      </c>
      <c r="D51" s="667"/>
      <c r="E51" s="666">
        <v>0</v>
      </c>
    </row>
    <row r="52" spans="1:5" s="639" customFormat="1" ht="173.25" customHeight="1" x14ac:dyDescent="0.25">
      <c r="A52" s="649" t="s">
        <v>237</v>
      </c>
      <c r="B52" s="648" t="s">
        <v>231</v>
      </c>
      <c r="C52" s="665" t="s">
        <v>236</v>
      </c>
      <c r="D52" s="646"/>
      <c r="E52" s="645">
        <v>435265580</v>
      </c>
    </row>
    <row r="53" spans="1:5" s="639" customFormat="1" ht="70.5" customHeight="1" x14ac:dyDescent="0.25">
      <c r="A53" s="654"/>
      <c r="B53" s="660" t="s">
        <v>231</v>
      </c>
      <c r="C53" s="659" t="s">
        <v>235</v>
      </c>
      <c r="D53" s="651"/>
      <c r="E53" s="650">
        <v>5150000</v>
      </c>
    </row>
    <row r="54" spans="1:5" s="639" customFormat="1" ht="101.25" customHeight="1" x14ac:dyDescent="0.25">
      <c r="A54" s="654"/>
      <c r="B54" s="660" t="s">
        <v>231</v>
      </c>
      <c r="C54" s="664" t="s">
        <v>234</v>
      </c>
      <c r="D54" s="651"/>
      <c r="E54" s="650">
        <v>78500000</v>
      </c>
    </row>
    <row r="55" spans="1:5" s="639" customFormat="1" ht="85.5" customHeight="1" x14ac:dyDescent="0.25">
      <c r="A55" s="654"/>
      <c r="B55" s="660" t="s">
        <v>231</v>
      </c>
      <c r="C55" s="659" t="s">
        <v>233</v>
      </c>
      <c r="D55" s="651"/>
      <c r="E55" s="650">
        <v>77927350</v>
      </c>
    </row>
    <row r="56" spans="1:5" s="639" customFormat="1" ht="212.25" customHeight="1" x14ac:dyDescent="0.25">
      <c r="A56" s="654"/>
      <c r="B56" s="660" t="s">
        <v>231</v>
      </c>
      <c r="C56" s="663" t="s">
        <v>232</v>
      </c>
      <c r="D56" s="651"/>
      <c r="E56" s="650">
        <v>0</v>
      </c>
    </row>
    <row r="57" spans="1:5" s="639" customFormat="1" ht="58.5" customHeight="1" thickBot="1" x14ac:dyDescent="0.3">
      <c r="A57" s="644"/>
      <c r="B57" s="657" t="s">
        <v>231</v>
      </c>
      <c r="C57" s="656" t="s">
        <v>230</v>
      </c>
      <c r="D57" s="641"/>
      <c r="E57" s="640">
        <v>83770450</v>
      </c>
    </row>
    <row r="58" spans="1:5" s="639" customFormat="1" ht="129.75" customHeight="1" x14ac:dyDescent="0.25">
      <c r="A58" s="649" t="s">
        <v>229</v>
      </c>
      <c r="B58" s="662" t="s">
        <v>223</v>
      </c>
      <c r="C58" s="648" t="s">
        <v>228</v>
      </c>
      <c r="D58" s="661"/>
      <c r="E58" s="645">
        <v>0</v>
      </c>
    </row>
    <row r="59" spans="1:5" s="639" customFormat="1" ht="73.5" customHeight="1" x14ac:dyDescent="0.25">
      <c r="A59" s="654"/>
      <c r="B59" s="660" t="s">
        <v>223</v>
      </c>
      <c r="C59" s="659" t="s">
        <v>227</v>
      </c>
      <c r="D59" s="658"/>
      <c r="E59" s="650">
        <v>168193920</v>
      </c>
    </row>
    <row r="60" spans="1:5" s="639" customFormat="1" ht="69.75" customHeight="1" x14ac:dyDescent="0.25">
      <c r="A60" s="654"/>
      <c r="B60" s="660" t="s">
        <v>223</v>
      </c>
      <c r="C60" s="659" t="s">
        <v>226</v>
      </c>
      <c r="D60" s="658"/>
      <c r="E60" s="650">
        <v>150000000</v>
      </c>
    </row>
    <row r="61" spans="1:5" s="639" customFormat="1" ht="75" customHeight="1" x14ac:dyDescent="0.25">
      <c r="A61" s="654"/>
      <c r="B61" s="660" t="s">
        <v>223</v>
      </c>
      <c r="C61" s="659" t="s">
        <v>225</v>
      </c>
      <c r="D61" s="658"/>
      <c r="E61" s="650">
        <v>218896376</v>
      </c>
    </row>
    <row r="62" spans="1:5" s="639" customFormat="1" ht="75" customHeight="1" x14ac:dyDescent="0.25">
      <c r="A62" s="654"/>
      <c r="B62" s="660" t="s">
        <v>223</v>
      </c>
      <c r="C62" s="659" t="s">
        <v>224</v>
      </c>
      <c r="D62" s="658"/>
      <c r="E62" s="650">
        <v>0</v>
      </c>
    </row>
    <row r="63" spans="1:5" s="639" customFormat="1" ht="70.5" customHeight="1" thickBot="1" x14ac:dyDescent="0.3">
      <c r="A63" s="644"/>
      <c r="B63" s="657" t="s">
        <v>223</v>
      </c>
      <c r="C63" s="656" t="s">
        <v>222</v>
      </c>
      <c r="D63" s="655"/>
      <c r="E63" s="640">
        <v>0</v>
      </c>
    </row>
    <row r="64" spans="1:5" s="639" customFormat="1" ht="90.75" customHeight="1" x14ac:dyDescent="0.25">
      <c r="A64" s="649" t="s">
        <v>221</v>
      </c>
      <c r="B64" s="648" t="s">
        <v>212</v>
      </c>
      <c r="C64" s="647" t="s">
        <v>220</v>
      </c>
      <c r="D64" s="646"/>
      <c r="E64" s="645">
        <v>24400000</v>
      </c>
    </row>
    <row r="65" spans="1:5" s="639" customFormat="1" ht="84.75" customHeight="1" x14ac:dyDescent="0.25">
      <c r="A65" s="654"/>
      <c r="B65" s="653" t="s">
        <v>212</v>
      </c>
      <c r="C65" s="652" t="s">
        <v>219</v>
      </c>
      <c r="D65" s="651"/>
      <c r="E65" s="650">
        <v>0</v>
      </c>
    </row>
    <row r="66" spans="1:5" s="639" customFormat="1" ht="87" customHeight="1" x14ac:dyDescent="0.25">
      <c r="A66" s="654"/>
      <c r="B66" s="653" t="s">
        <v>212</v>
      </c>
      <c r="C66" s="652" t="s">
        <v>218</v>
      </c>
      <c r="D66" s="651"/>
      <c r="E66" s="650">
        <v>18000000</v>
      </c>
    </row>
    <row r="67" spans="1:5" s="639" customFormat="1" ht="87" customHeight="1" x14ac:dyDescent="0.25">
      <c r="A67" s="654"/>
      <c r="B67" s="653" t="s">
        <v>212</v>
      </c>
      <c r="C67" s="652" t="s">
        <v>217</v>
      </c>
      <c r="D67" s="651"/>
      <c r="E67" s="650">
        <v>6892108434</v>
      </c>
    </row>
    <row r="68" spans="1:5" s="639" customFormat="1" ht="88.5" customHeight="1" x14ac:dyDescent="0.25">
      <c r="A68" s="654"/>
      <c r="B68" s="653" t="s">
        <v>212</v>
      </c>
      <c r="C68" s="652" t="s">
        <v>216</v>
      </c>
      <c r="D68" s="651"/>
      <c r="E68" s="650">
        <v>44000000</v>
      </c>
    </row>
    <row r="69" spans="1:5" s="639" customFormat="1" ht="104.25" customHeight="1" x14ac:dyDescent="0.25">
      <c r="A69" s="654"/>
      <c r="B69" s="653" t="s">
        <v>212</v>
      </c>
      <c r="C69" s="652" t="s">
        <v>215</v>
      </c>
      <c r="D69" s="651"/>
      <c r="E69" s="650">
        <v>40000000</v>
      </c>
    </row>
    <row r="70" spans="1:5" s="639" customFormat="1" ht="117.75" customHeight="1" x14ac:dyDescent="0.25">
      <c r="A70" s="654"/>
      <c r="B70" s="653" t="s">
        <v>212</v>
      </c>
      <c r="C70" s="652" t="s">
        <v>214</v>
      </c>
      <c r="D70" s="651"/>
      <c r="E70" s="650">
        <v>6619750</v>
      </c>
    </row>
    <row r="71" spans="1:5" s="639" customFormat="1" ht="85.5" customHeight="1" x14ac:dyDescent="0.25">
      <c r="A71" s="654"/>
      <c r="B71" s="653" t="s">
        <v>212</v>
      </c>
      <c r="C71" s="652" t="s">
        <v>213</v>
      </c>
      <c r="D71" s="651"/>
      <c r="E71" s="650">
        <v>0</v>
      </c>
    </row>
    <row r="72" spans="1:5" s="639" customFormat="1" ht="102" customHeight="1" thickBot="1" x14ac:dyDescent="0.3">
      <c r="A72" s="644"/>
      <c r="B72" s="643" t="s">
        <v>212</v>
      </c>
      <c r="C72" s="642" t="s">
        <v>211</v>
      </c>
      <c r="D72" s="641"/>
      <c r="E72" s="640">
        <v>15000000</v>
      </c>
    </row>
    <row r="73" spans="1:5" s="639" customFormat="1" ht="81.75" customHeight="1" x14ac:dyDescent="0.25">
      <c r="A73" s="649" t="s">
        <v>210</v>
      </c>
      <c r="B73" s="648" t="s">
        <v>208</v>
      </c>
      <c r="C73" s="647" t="s">
        <v>209</v>
      </c>
      <c r="D73" s="646"/>
      <c r="E73" s="645">
        <v>309750000</v>
      </c>
    </row>
    <row r="74" spans="1:5" s="639" customFormat="1" ht="70.5" customHeight="1" thickBot="1" x14ac:dyDescent="0.3">
      <c r="A74" s="644"/>
      <c r="B74" s="643" t="s">
        <v>208</v>
      </c>
      <c r="C74" s="642" t="s">
        <v>207</v>
      </c>
      <c r="D74" s="641"/>
      <c r="E74" s="640">
        <v>0</v>
      </c>
    </row>
    <row r="75" spans="1:5" x14ac:dyDescent="0.3">
      <c r="E75" s="638">
        <f>SUM(E3:E74)</f>
        <v>19856311771</v>
      </c>
    </row>
    <row r="76" spans="1:5" x14ac:dyDescent="0.25">
      <c r="E76" s="637">
        <v>19856561520</v>
      </c>
    </row>
    <row r="77" spans="1:5" x14ac:dyDescent="0.25">
      <c r="E77" s="637">
        <f>+E76-E75</f>
        <v>249749</v>
      </c>
    </row>
  </sheetData>
  <autoFilter ref="A2:E77" xr:uid="{364D44BC-C340-4545-9832-35FA40F0B277}"/>
  <mergeCells count="12">
    <mergeCell ref="A1:E1"/>
    <mergeCell ref="A3:A13"/>
    <mergeCell ref="A14:A16"/>
    <mergeCell ref="A17:A23"/>
    <mergeCell ref="A24:A31"/>
    <mergeCell ref="A64:A72"/>
    <mergeCell ref="A73:A74"/>
    <mergeCell ref="A32:A36"/>
    <mergeCell ref="A37:A40"/>
    <mergeCell ref="A41:A51"/>
    <mergeCell ref="A52:A57"/>
    <mergeCell ref="A58:A63"/>
  </mergeCells>
  <printOptions horizontalCentered="1"/>
  <pageMargins left="0.25" right="0.25" top="0.32" bottom="0.74803149606299213" header="0.17" footer="0.22"/>
  <pageSetup scale="85" orientation="portrait" r:id="rId1"/>
  <headerFooter>
    <oddFooter>&amp;C&amp;P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50688-468E-47AC-A406-E76613E94875}">
  <sheetPr codeName="Hoja3"/>
  <dimension ref="A1:AI11"/>
  <sheetViews>
    <sheetView zoomScale="70" zoomScaleNormal="70" workbookViewId="0">
      <pane ySplit="3" topLeftCell="A4" activePane="bottomLeft" state="frozen"/>
      <selection pane="bottomLeft" activeCell="AF10" sqref="AF10"/>
    </sheetView>
  </sheetViews>
  <sheetFormatPr baseColWidth="10" defaultColWidth="11.42578125" defaultRowHeight="19.5" x14ac:dyDescent="0.25"/>
  <cols>
    <col min="1" max="1" width="11.42578125" style="264"/>
    <col min="2" max="2" width="12.28515625" style="264" customWidth="1"/>
    <col min="3" max="3" width="67.42578125" style="271" customWidth="1"/>
    <col min="4" max="8" width="6.85546875" style="245" hidden="1" customWidth="1"/>
    <col min="9" max="9" width="6.85546875" style="265" hidden="1" customWidth="1"/>
    <col min="10" max="10" width="0.28515625" style="264" hidden="1" customWidth="1"/>
    <col min="11" max="15" width="6.85546875" style="245" hidden="1" customWidth="1"/>
    <col min="16" max="16" width="6.85546875" style="265" hidden="1" customWidth="1"/>
    <col min="17" max="18" width="7.5703125" style="245" hidden="1" customWidth="1"/>
    <col min="19" max="20" width="6.85546875" style="245" hidden="1" customWidth="1"/>
    <col min="21" max="21" width="6.85546875" style="266" hidden="1" customWidth="1"/>
    <col min="22" max="22" width="6.85546875" style="245" hidden="1" customWidth="1"/>
    <col min="23" max="23" width="11" style="245" hidden="1" customWidth="1"/>
    <col min="24" max="24" width="12.85546875" style="245" hidden="1" customWidth="1"/>
    <col min="25" max="25" width="8.5703125" style="245" hidden="1" customWidth="1"/>
    <col min="26" max="26" width="11" style="245" hidden="1" customWidth="1"/>
    <col min="27" max="27" width="10.7109375" style="245" hidden="1" customWidth="1"/>
    <col min="28" max="28" width="8.5703125" style="245" hidden="1" customWidth="1"/>
    <col min="29" max="29" width="12" style="245" bestFit="1" customWidth="1"/>
    <col min="30" max="30" width="12" style="245" customWidth="1"/>
    <col min="31" max="34" width="12.28515625" style="268" customWidth="1"/>
    <col min="35" max="35" width="10.42578125" style="245" customWidth="1"/>
    <col min="36" max="16384" width="11.42578125" style="245"/>
  </cols>
  <sheetData>
    <row r="1" spans="1:35" s="223" customFormat="1" ht="35.25" customHeight="1" thickBot="1" x14ac:dyDescent="0.3">
      <c r="A1" s="497" t="s">
        <v>317</v>
      </c>
      <c r="B1" s="498"/>
      <c r="C1" s="499"/>
      <c r="D1" s="483"/>
      <c r="E1" s="483"/>
      <c r="F1" s="483"/>
      <c r="G1" s="483"/>
      <c r="H1" s="483"/>
      <c r="I1" s="484"/>
      <c r="J1" s="482">
        <v>2016</v>
      </c>
      <c r="K1" s="483"/>
      <c r="L1" s="483"/>
      <c r="M1" s="483"/>
      <c r="N1" s="483"/>
      <c r="O1" s="483"/>
      <c r="P1" s="484"/>
      <c r="Q1" s="485"/>
      <c r="R1" s="485"/>
      <c r="S1" s="485"/>
      <c r="T1" s="485"/>
      <c r="U1" s="485"/>
      <c r="V1" s="486"/>
      <c r="W1" s="483"/>
      <c r="X1" s="483"/>
      <c r="Y1" s="483"/>
      <c r="Z1" s="483"/>
      <c r="AA1" s="483"/>
      <c r="AB1" s="484"/>
      <c r="AC1" s="505" t="s">
        <v>318</v>
      </c>
      <c r="AD1" s="489"/>
      <c r="AE1" s="489"/>
      <c r="AF1" s="489"/>
      <c r="AG1" s="489"/>
      <c r="AH1" s="490"/>
    </row>
    <row r="2" spans="1:35" s="223" customFormat="1" ht="35.25" customHeight="1" thickBot="1" x14ac:dyDescent="0.3">
      <c r="A2" s="500"/>
      <c r="B2" s="501"/>
      <c r="C2" s="502"/>
      <c r="D2" s="495" t="s">
        <v>6</v>
      </c>
      <c r="E2" s="496"/>
      <c r="F2" s="496"/>
      <c r="G2" s="488" t="s">
        <v>7</v>
      </c>
      <c r="H2" s="489"/>
      <c r="I2" s="490"/>
      <c r="J2" s="493" t="s">
        <v>5</v>
      </c>
      <c r="K2" s="495" t="s">
        <v>6</v>
      </c>
      <c r="L2" s="496"/>
      <c r="M2" s="496"/>
      <c r="N2" s="488" t="s">
        <v>7</v>
      </c>
      <c r="O2" s="489"/>
      <c r="P2" s="490"/>
      <c r="Q2" s="495" t="s">
        <v>6</v>
      </c>
      <c r="R2" s="496"/>
      <c r="S2" s="496"/>
      <c r="T2" s="488" t="s">
        <v>7</v>
      </c>
      <c r="U2" s="489"/>
      <c r="V2" s="490"/>
      <c r="W2" s="495" t="s">
        <v>6</v>
      </c>
      <c r="X2" s="496"/>
      <c r="Y2" s="496"/>
      <c r="Z2" s="488" t="s">
        <v>7</v>
      </c>
      <c r="AA2" s="489"/>
      <c r="AB2" s="490"/>
      <c r="AC2" s="697" t="s">
        <v>313</v>
      </c>
      <c r="AD2" s="491"/>
      <c r="AE2" s="491"/>
      <c r="AF2" s="491" t="s">
        <v>314</v>
      </c>
      <c r="AG2" s="491"/>
      <c r="AH2" s="492"/>
    </row>
    <row r="3" spans="1:35" s="223" customFormat="1" ht="30" customHeight="1" thickBot="1" x14ac:dyDescent="0.3">
      <c r="A3" s="320" t="s">
        <v>9</v>
      </c>
      <c r="B3" s="321" t="s">
        <v>10</v>
      </c>
      <c r="C3" s="280" t="s">
        <v>11</v>
      </c>
      <c r="D3" s="226" t="s">
        <v>177</v>
      </c>
      <c r="E3" s="227" t="s">
        <v>178</v>
      </c>
      <c r="F3" s="228" t="s">
        <v>179</v>
      </c>
      <c r="G3" s="226" t="s">
        <v>177</v>
      </c>
      <c r="H3" s="227" t="s">
        <v>178</v>
      </c>
      <c r="I3" s="229" t="s">
        <v>179</v>
      </c>
      <c r="J3" s="494"/>
      <c r="K3" s="226" t="s">
        <v>177</v>
      </c>
      <c r="L3" s="227" t="s">
        <v>178</v>
      </c>
      <c r="M3" s="228" t="s">
        <v>179</v>
      </c>
      <c r="N3" s="226" t="s">
        <v>177</v>
      </c>
      <c r="O3" s="227" t="s">
        <v>178</v>
      </c>
      <c r="P3" s="229" t="s">
        <v>179</v>
      </c>
      <c r="Q3" s="226" t="s">
        <v>177</v>
      </c>
      <c r="R3" s="227" t="s">
        <v>178</v>
      </c>
      <c r="S3" s="228" t="s">
        <v>179</v>
      </c>
      <c r="T3" s="226" t="s">
        <v>177</v>
      </c>
      <c r="U3" s="227" t="s">
        <v>178</v>
      </c>
      <c r="V3" s="228" t="s">
        <v>179</v>
      </c>
      <c r="W3" s="226" t="s">
        <v>177</v>
      </c>
      <c r="X3" s="227" t="s">
        <v>178</v>
      </c>
      <c r="Y3" s="228" t="s">
        <v>179</v>
      </c>
      <c r="Z3" s="226" t="s">
        <v>177</v>
      </c>
      <c r="AA3" s="227" t="s">
        <v>178</v>
      </c>
      <c r="AB3" s="425" t="s">
        <v>179</v>
      </c>
      <c r="AC3" s="702" t="s">
        <v>177</v>
      </c>
      <c r="AD3" s="703" t="s">
        <v>178</v>
      </c>
      <c r="AE3" s="704" t="s">
        <v>179</v>
      </c>
      <c r="AF3" s="703" t="s">
        <v>177</v>
      </c>
      <c r="AG3" s="703" t="s">
        <v>178</v>
      </c>
      <c r="AH3" s="705" t="s">
        <v>179</v>
      </c>
      <c r="AI3" s="232"/>
    </row>
    <row r="4" spans="1:35" ht="55.5" customHeight="1" x14ac:dyDescent="0.25">
      <c r="A4" s="283" t="s">
        <v>20</v>
      </c>
      <c r="B4" s="322" t="s">
        <v>33</v>
      </c>
      <c r="C4" s="323" t="s">
        <v>34</v>
      </c>
      <c r="D4" s="325">
        <v>600</v>
      </c>
      <c r="E4" s="326">
        <v>1380</v>
      </c>
      <c r="F4" s="273">
        <f>+E4/D4</f>
        <v>2.2999999999999998</v>
      </c>
      <c r="G4" s="326">
        <v>495.5</v>
      </c>
      <c r="H4" s="326">
        <v>491</v>
      </c>
      <c r="I4" s="274">
        <f>+H4/G4</f>
        <v>0.99091826437941477</v>
      </c>
      <c r="J4" s="324" t="s">
        <v>35</v>
      </c>
      <c r="K4" s="327">
        <v>1000</v>
      </c>
      <c r="L4" s="328">
        <v>3232</v>
      </c>
      <c r="M4" s="275">
        <f>+L4/K4</f>
        <v>3.2320000000000002</v>
      </c>
      <c r="N4" s="328">
        <v>322.98</v>
      </c>
      <c r="O4" s="328">
        <v>234.95</v>
      </c>
      <c r="P4" s="276">
        <f>+O4/N4</f>
        <v>0.72744442380333141</v>
      </c>
      <c r="Q4" s="329">
        <v>1000</v>
      </c>
      <c r="R4" s="328">
        <v>3028</v>
      </c>
      <c r="S4" s="275">
        <f>+R4/Q4</f>
        <v>3.028</v>
      </c>
      <c r="T4" s="272">
        <v>147.5</v>
      </c>
      <c r="U4" s="330">
        <v>86.17</v>
      </c>
      <c r="V4" s="276">
        <f>U4/T4</f>
        <v>0.58420338983050846</v>
      </c>
      <c r="W4" s="329">
        <v>1000</v>
      </c>
      <c r="X4" s="326">
        <v>2431</v>
      </c>
      <c r="Y4" s="331">
        <v>2.4300000000000002</v>
      </c>
      <c r="Z4" s="277">
        <v>253</v>
      </c>
      <c r="AA4" s="277">
        <v>8.06</v>
      </c>
      <c r="AB4" s="278">
        <v>3.1857707509881428E-2</v>
      </c>
      <c r="AC4" s="698">
        <f>+W4+Q4+K4+D4</f>
        <v>3600</v>
      </c>
      <c r="AD4" s="243">
        <f>+E4+L4+R4+X4</f>
        <v>10071</v>
      </c>
      <c r="AE4" s="700">
        <f>+AD4/AC4</f>
        <v>2.7974999999999999</v>
      </c>
      <c r="AF4" s="701">
        <f>SUM(G4+N4+T4+Z4)</f>
        <v>1218.98</v>
      </c>
      <c r="AG4" s="701">
        <f>SUM(H4+O4+U4+AA4)</f>
        <v>820.18</v>
      </c>
      <c r="AH4" s="706">
        <f>+AG4/AF4</f>
        <v>0.67284122791186074</v>
      </c>
      <c r="AI4" s="247"/>
    </row>
    <row r="5" spans="1:35" ht="85.5" hidden="1" customHeight="1" x14ac:dyDescent="0.25">
      <c r="A5" s="283"/>
      <c r="B5" s="322"/>
      <c r="C5" s="323"/>
      <c r="D5" s="325"/>
      <c r="E5" s="326"/>
      <c r="F5" s="273"/>
      <c r="G5" s="326"/>
      <c r="H5" s="326"/>
      <c r="I5" s="274"/>
      <c r="J5" s="324"/>
      <c r="K5" s="327"/>
      <c r="L5" s="328"/>
      <c r="M5" s="275"/>
      <c r="N5" s="328"/>
      <c r="O5" s="328"/>
      <c r="P5" s="276"/>
      <c r="Q5" s="329"/>
      <c r="R5" s="328"/>
      <c r="S5" s="275"/>
      <c r="T5" s="272"/>
      <c r="U5" s="330"/>
      <c r="V5" s="276"/>
      <c r="W5" s="329"/>
      <c r="X5" s="326" t="s">
        <v>315</v>
      </c>
      <c r="Y5" s="331"/>
      <c r="Z5" s="277"/>
      <c r="AA5" s="277"/>
      <c r="AB5" s="278"/>
      <c r="AC5" s="698"/>
      <c r="AD5" s="243"/>
      <c r="AE5" s="700"/>
      <c r="AF5" s="701">
        <f t="shared" ref="AF5:AF10" si="0">SUM(G5+N5+T5+Z5)</f>
        <v>0</v>
      </c>
      <c r="AG5" s="701">
        <f t="shared" ref="AG5:AG10" si="1">SUM(H5+O5+U5+AA5)</f>
        <v>0</v>
      </c>
      <c r="AH5" s="706" t="e">
        <f t="shared" ref="AH5:AH10" si="2">+AG5/AF5</f>
        <v>#DIV/0!</v>
      </c>
      <c r="AI5" s="247"/>
    </row>
    <row r="6" spans="1:35" ht="55.5" customHeight="1" x14ac:dyDescent="0.25">
      <c r="A6" s="283" t="s">
        <v>20</v>
      </c>
      <c r="B6" s="332" t="s">
        <v>33</v>
      </c>
      <c r="C6" s="333" t="s">
        <v>38</v>
      </c>
      <c r="D6" s="284">
        <v>2000</v>
      </c>
      <c r="E6" s="285">
        <v>3637</v>
      </c>
      <c r="F6" s="237">
        <f>+E6/D6</f>
        <v>1.8185</v>
      </c>
      <c r="G6" s="285">
        <v>337.3</v>
      </c>
      <c r="H6" s="285">
        <v>310.42</v>
      </c>
      <c r="I6" s="238">
        <f>+H6/G6</f>
        <v>0.92030833086273345</v>
      </c>
      <c r="J6" s="286" t="s">
        <v>39</v>
      </c>
      <c r="K6" s="248">
        <v>5000</v>
      </c>
      <c r="L6" s="246">
        <v>6857</v>
      </c>
      <c r="M6" s="240">
        <f>+L6/K6</f>
        <v>1.3714</v>
      </c>
      <c r="N6" s="246">
        <v>322</v>
      </c>
      <c r="O6" s="246">
        <v>234.95</v>
      </c>
      <c r="P6" s="241">
        <f>+O6/N6</f>
        <v>0.72965838509316772</v>
      </c>
      <c r="Q6" s="289">
        <v>10000</v>
      </c>
      <c r="R6" s="246">
        <v>11449</v>
      </c>
      <c r="S6" s="240">
        <f>+R6/Q6</f>
        <v>1.1449</v>
      </c>
      <c r="T6" s="246">
        <v>356.2</v>
      </c>
      <c r="U6" s="246">
        <v>220.2</v>
      </c>
      <c r="V6" s="241">
        <f>U6/T6</f>
        <v>0.61819202695115105</v>
      </c>
      <c r="W6" s="289">
        <v>5000</v>
      </c>
      <c r="X6" s="696">
        <v>14391</v>
      </c>
      <c r="Y6" s="334">
        <v>1.44</v>
      </c>
      <c r="Z6" s="243">
        <v>282.60000000000002</v>
      </c>
      <c r="AA6" s="243">
        <v>105.3</v>
      </c>
      <c r="AB6" s="244">
        <v>0.37261146496815284</v>
      </c>
      <c r="AC6" s="698">
        <f>+W6+Q6+K6+D6</f>
        <v>22000</v>
      </c>
      <c r="AD6" s="243">
        <f t="shared" ref="AD6:AD10" si="3">+E6+L6+R6+X6</f>
        <v>36334</v>
      </c>
      <c r="AE6" s="700">
        <f>+AD6/AC6</f>
        <v>1.6515454545454546</v>
      </c>
      <c r="AF6" s="701">
        <f t="shared" si="0"/>
        <v>1298.0999999999999</v>
      </c>
      <c r="AG6" s="701">
        <f t="shared" si="1"/>
        <v>870.86999999999989</v>
      </c>
      <c r="AH6" s="706">
        <f t="shared" si="2"/>
        <v>0.67088051767968571</v>
      </c>
      <c r="AI6" s="247"/>
    </row>
    <row r="7" spans="1:35" ht="121.5" hidden="1" customHeight="1" x14ac:dyDescent="0.25">
      <c r="A7" s="283"/>
      <c r="B7" s="332"/>
      <c r="C7" s="333"/>
      <c r="D7" s="284"/>
      <c r="E7" s="285"/>
      <c r="F7" s="237"/>
      <c r="G7" s="285"/>
      <c r="H7" s="285"/>
      <c r="I7" s="238"/>
      <c r="J7" s="286"/>
      <c r="K7" s="248"/>
      <c r="L7" s="246"/>
      <c r="M7" s="240"/>
      <c r="N7" s="246"/>
      <c r="O7" s="246"/>
      <c r="P7" s="241"/>
      <c r="Q7" s="289"/>
      <c r="R7" s="246"/>
      <c r="S7" s="240"/>
      <c r="T7" s="246"/>
      <c r="U7" s="246"/>
      <c r="V7" s="241"/>
      <c r="W7" s="289"/>
      <c r="X7" s="287" t="s">
        <v>316</v>
      </c>
      <c r="Y7" s="334"/>
      <c r="Z7" s="243"/>
      <c r="AA7" s="243"/>
      <c r="AB7" s="694"/>
      <c r="AC7" s="698"/>
      <c r="AD7" s="243"/>
      <c r="AE7" s="700" t="e">
        <f t="shared" ref="AE7:AE10" si="4">+AD7/AC7</f>
        <v>#DIV/0!</v>
      </c>
      <c r="AF7" s="701">
        <f t="shared" si="0"/>
        <v>0</v>
      </c>
      <c r="AG7" s="701">
        <f t="shared" si="1"/>
        <v>0</v>
      </c>
      <c r="AH7" s="706" t="e">
        <f t="shared" si="2"/>
        <v>#DIV/0!</v>
      </c>
      <c r="AI7" s="247"/>
    </row>
    <row r="8" spans="1:35" ht="85.5" customHeight="1" x14ac:dyDescent="0.25">
      <c r="A8" s="283" t="s">
        <v>20</v>
      </c>
      <c r="B8" s="332" t="s">
        <v>54</v>
      </c>
      <c r="C8" s="270" t="s">
        <v>87</v>
      </c>
      <c r="D8" s="235">
        <v>800</v>
      </c>
      <c r="E8" s="236">
        <v>1219</v>
      </c>
      <c r="F8" s="237">
        <f>+E8/D8</f>
        <v>1.5237499999999999</v>
      </c>
      <c r="G8" s="236">
        <v>1275</v>
      </c>
      <c r="H8" s="236">
        <v>1601.1</v>
      </c>
      <c r="I8" s="238">
        <f>+H8/G8</f>
        <v>1.2557647058823529</v>
      </c>
      <c r="J8" s="239">
        <v>1000</v>
      </c>
      <c r="K8" s="248">
        <v>800</v>
      </c>
      <c r="L8" s="246">
        <v>825</v>
      </c>
      <c r="M8" s="240">
        <f>+L8/K8</f>
        <v>1.03125</v>
      </c>
      <c r="N8" s="246">
        <v>1511</v>
      </c>
      <c r="O8" s="246">
        <v>1254</v>
      </c>
      <c r="P8" s="241">
        <f>+O8/N8</f>
        <v>0.82991396426207809</v>
      </c>
      <c r="Q8" s="248">
        <v>1000</v>
      </c>
      <c r="R8" s="246">
        <v>746</v>
      </c>
      <c r="S8" s="240">
        <f>+R8/Q8</f>
        <v>0.746</v>
      </c>
      <c r="T8" s="246">
        <v>1197</v>
      </c>
      <c r="U8" s="246">
        <v>602.6</v>
      </c>
      <c r="V8" s="241">
        <f>U8/T8</f>
        <v>0.50342522974101922</v>
      </c>
      <c r="W8" s="248">
        <v>1000</v>
      </c>
      <c r="X8" s="246">
        <v>0</v>
      </c>
      <c r="Y8" s="242">
        <v>0</v>
      </c>
      <c r="Z8" s="335">
        <v>0</v>
      </c>
      <c r="AA8" s="335">
        <v>0</v>
      </c>
      <c r="AB8" s="694">
        <v>0</v>
      </c>
      <c r="AC8" s="698">
        <f>+W8+Q8+K8+D8</f>
        <v>3600</v>
      </c>
      <c r="AD8" s="243">
        <f t="shared" si="3"/>
        <v>2790</v>
      </c>
      <c r="AE8" s="700">
        <f t="shared" si="4"/>
        <v>0.77500000000000002</v>
      </c>
      <c r="AF8" s="701">
        <f t="shared" si="0"/>
        <v>3983</v>
      </c>
      <c r="AG8" s="701">
        <f t="shared" si="1"/>
        <v>3457.7</v>
      </c>
      <c r="AH8" s="706">
        <f t="shared" si="2"/>
        <v>0.86811448656791357</v>
      </c>
      <c r="AI8" s="247"/>
    </row>
    <row r="9" spans="1:35" ht="85.5" customHeight="1" x14ac:dyDescent="0.25">
      <c r="A9" s="283" t="s">
        <v>20</v>
      </c>
      <c r="B9" s="332" t="s">
        <v>54</v>
      </c>
      <c r="C9" s="270" t="s">
        <v>89</v>
      </c>
      <c r="D9" s="235">
        <v>25</v>
      </c>
      <c r="E9" s="236">
        <v>8</v>
      </c>
      <c r="F9" s="237">
        <f>+E9/D9</f>
        <v>0.32</v>
      </c>
      <c r="G9" s="236">
        <v>225</v>
      </c>
      <c r="H9" s="236">
        <v>186.3</v>
      </c>
      <c r="I9" s="238">
        <f>+H9/G9</f>
        <v>0.82800000000000007</v>
      </c>
      <c r="J9" s="234"/>
      <c r="K9" s="248">
        <v>25</v>
      </c>
      <c r="L9" s="246">
        <v>17</v>
      </c>
      <c r="M9" s="240">
        <f>+L9/K9</f>
        <v>0.68</v>
      </c>
      <c r="N9" s="246">
        <v>225</v>
      </c>
      <c r="O9" s="246">
        <v>87.46</v>
      </c>
      <c r="P9" s="241">
        <f>+O9/N9</f>
        <v>0.38871111111111106</v>
      </c>
      <c r="Q9" s="248">
        <v>25</v>
      </c>
      <c r="R9" s="246">
        <v>7</v>
      </c>
      <c r="S9" s="240">
        <f>+R9/Q9</f>
        <v>0.28000000000000003</v>
      </c>
      <c r="T9" s="246">
        <v>48.7</v>
      </c>
      <c r="U9" s="246">
        <v>31.1</v>
      </c>
      <c r="V9" s="241">
        <f>U9/T9</f>
        <v>0.6386036960985626</v>
      </c>
      <c r="W9" s="248">
        <v>25</v>
      </c>
      <c r="X9" s="246">
        <v>0</v>
      </c>
      <c r="Y9" s="246">
        <v>0</v>
      </c>
      <c r="Z9" s="335">
        <v>252.31</v>
      </c>
      <c r="AA9" s="335">
        <v>50.82</v>
      </c>
      <c r="AB9" s="244">
        <v>0.1</v>
      </c>
      <c r="AC9" s="698">
        <f>+W9+Q9+K9+D9</f>
        <v>100</v>
      </c>
      <c r="AD9" s="243">
        <f t="shared" si="3"/>
        <v>32</v>
      </c>
      <c r="AE9" s="700">
        <f t="shared" si="4"/>
        <v>0.32</v>
      </c>
      <c r="AF9" s="701">
        <f t="shared" si="0"/>
        <v>751.01</v>
      </c>
      <c r="AG9" s="701">
        <f t="shared" si="1"/>
        <v>355.68</v>
      </c>
      <c r="AH9" s="706">
        <f t="shared" si="2"/>
        <v>0.47360221568288041</v>
      </c>
      <c r="AI9" s="247"/>
    </row>
    <row r="10" spans="1:35" ht="125.25" customHeight="1" thickBot="1" x14ac:dyDescent="0.3">
      <c r="A10" s="291" t="s">
        <v>20</v>
      </c>
      <c r="B10" s="336" t="s">
        <v>90</v>
      </c>
      <c r="C10" s="269" t="s">
        <v>176</v>
      </c>
      <c r="D10" s="253">
        <v>17</v>
      </c>
      <c r="E10" s="254">
        <v>0</v>
      </c>
      <c r="F10" s="255">
        <f>+E10/D10</f>
        <v>0</v>
      </c>
      <c r="G10" s="254">
        <v>158.19999999999999</v>
      </c>
      <c r="H10" s="254">
        <v>180.6</v>
      </c>
      <c r="I10" s="256">
        <f>+H10/G10</f>
        <v>1.1415929203539823</v>
      </c>
      <c r="J10" s="252" t="s">
        <v>97</v>
      </c>
      <c r="K10" s="257">
        <v>32</v>
      </c>
      <c r="L10" s="258">
        <v>45</v>
      </c>
      <c r="M10" s="292">
        <v>1.40625</v>
      </c>
      <c r="N10" s="258">
        <v>173.2</v>
      </c>
      <c r="O10" s="258">
        <v>96.41</v>
      </c>
      <c r="P10" s="260">
        <f>+O10/N10</f>
        <v>0.5566397228637413</v>
      </c>
      <c r="Q10" s="257">
        <v>15</v>
      </c>
      <c r="R10" s="258">
        <v>22</v>
      </c>
      <c r="S10" s="259">
        <f>+R10/Q10</f>
        <v>1.4666666666666666</v>
      </c>
      <c r="T10" s="258">
        <v>453</v>
      </c>
      <c r="U10" s="258">
        <v>452.3</v>
      </c>
      <c r="V10" s="260">
        <f>U10/T10</f>
        <v>0.99845474613686536</v>
      </c>
      <c r="W10" s="257">
        <v>64</v>
      </c>
      <c r="X10" s="258">
        <v>121</v>
      </c>
      <c r="Y10" s="261" t="s">
        <v>100</v>
      </c>
      <c r="Z10" s="262">
        <v>193.6</v>
      </c>
      <c r="AA10" s="262">
        <v>8.06</v>
      </c>
      <c r="AB10" s="263">
        <v>4.1632231404958683E-2</v>
      </c>
      <c r="AC10" s="699">
        <f>+W10+Q10+K10+D10</f>
        <v>128</v>
      </c>
      <c r="AD10" s="262">
        <f t="shared" si="3"/>
        <v>188</v>
      </c>
      <c r="AE10" s="700">
        <f t="shared" si="4"/>
        <v>1.46875</v>
      </c>
      <c r="AF10" s="707">
        <f t="shared" si="0"/>
        <v>978</v>
      </c>
      <c r="AG10" s="707">
        <f t="shared" si="1"/>
        <v>737.36999999999989</v>
      </c>
      <c r="AH10" s="706">
        <f t="shared" si="2"/>
        <v>0.75395705521472378</v>
      </c>
      <c r="AI10" s="247"/>
    </row>
    <row r="11" spans="1:35" ht="33" customHeight="1" x14ac:dyDescent="0.25">
      <c r="B11" s="337"/>
      <c r="C11" s="338"/>
      <c r="D11" s="247"/>
      <c r="E11" s="247"/>
      <c r="F11" s="247"/>
      <c r="G11" s="247"/>
      <c r="H11" s="247"/>
      <c r="I11" s="247"/>
      <c r="J11" s="337"/>
      <c r="K11" s="247"/>
      <c r="L11" s="247"/>
      <c r="M11" s="247"/>
      <c r="N11" s="247"/>
      <c r="O11" s="247"/>
      <c r="P11" s="247"/>
      <c r="Q11" s="247"/>
      <c r="R11" s="247"/>
      <c r="S11" s="247"/>
      <c r="T11" s="247"/>
      <c r="U11" s="247"/>
      <c r="V11" s="247"/>
      <c r="W11" s="290"/>
      <c r="X11" s="290"/>
      <c r="Y11" s="290"/>
      <c r="Z11" s="290"/>
      <c r="AA11" s="290"/>
      <c r="AB11" s="290"/>
      <c r="AC11" s="695"/>
      <c r="AD11" s="695"/>
      <c r="AE11" s="247"/>
      <c r="AF11" s="247"/>
      <c r="AG11" s="247"/>
      <c r="AH11" s="247"/>
      <c r="AI11" s="247"/>
    </row>
  </sheetData>
  <mergeCells count="17">
    <mergeCell ref="AC2:AE2"/>
    <mergeCell ref="AF2:AH2"/>
    <mergeCell ref="AC1:AH1"/>
    <mergeCell ref="A1:C2"/>
    <mergeCell ref="Q2:S2"/>
    <mergeCell ref="T2:V2"/>
    <mergeCell ref="W2:Y2"/>
    <mergeCell ref="Z2:AB2"/>
    <mergeCell ref="D2:F2"/>
    <mergeCell ref="J2:J3"/>
    <mergeCell ref="K2:M2"/>
    <mergeCell ref="N2:P2"/>
    <mergeCell ref="D1:I1"/>
    <mergeCell ref="J1:P1"/>
    <mergeCell ref="Q1:V1"/>
    <mergeCell ref="W1:AB1"/>
    <mergeCell ref="G2:I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A63CB-A635-42E5-B8A7-980024B71DF1}">
  <sheetPr codeName="Hoja4"/>
  <dimension ref="A1:AJ9"/>
  <sheetViews>
    <sheetView tabSelected="1" zoomScale="60" zoomScaleNormal="60" workbookViewId="0">
      <pane ySplit="3" topLeftCell="A4" activePane="bottomLeft" state="frozen"/>
      <selection pane="bottomLeft" sqref="A1:AH9"/>
    </sheetView>
  </sheetViews>
  <sheetFormatPr baseColWidth="10" defaultColWidth="11.42578125" defaultRowHeight="20.25" x14ac:dyDescent="0.25"/>
  <cols>
    <col min="1" max="1" width="13.28515625" style="720" bestFit="1" customWidth="1"/>
    <col min="2" max="3" width="12.28515625" style="271" customWidth="1"/>
    <col min="4" max="4" width="62.7109375" style="271" customWidth="1"/>
    <col min="5" max="5" width="19.5703125" style="786" hidden="1" customWidth="1"/>
    <col min="6" max="6" width="22.5703125" style="271" hidden="1" customWidth="1"/>
    <col min="7" max="7" width="15.5703125" style="271" hidden="1" customWidth="1"/>
    <col min="8" max="8" width="9.42578125" style="271" hidden="1" customWidth="1"/>
    <col min="9" max="9" width="9" style="271" hidden="1" customWidth="1"/>
    <col min="10" max="10" width="7.5703125" style="787" hidden="1" customWidth="1"/>
    <col min="11" max="12" width="19.85546875" style="271" hidden="1" customWidth="1"/>
    <col min="13" max="13" width="16.140625" style="271" hidden="1" customWidth="1"/>
    <col min="14" max="15" width="9" style="271" hidden="1" customWidth="1"/>
    <col min="16" max="16" width="7.5703125" style="787" hidden="1" customWidth="1"/>
    <col min="17" max="18" width="22.7109375" style="271" hidden="1" customWidth="1"/>
    <col min="19" max="19" width="9" style="271" hidden="1" customWidth="1"/>
    <col min="20" max="20" width="8.28515625" style="271" hidden="1" customWidth="1"/>
    <col min="21" max="21" width="8" style="788" hidden="1" customWidth="1"/>
    <col min="22" max="22" width="7.5703125" style="271" hidden="1" customWidth="1"/>
    <col min="23" max="24" width="23.28515625" style="271" hidden="1" customWidth="1"/>
    <col min="25" max="25" width="16.5703125" style="271" hidden="1" customWidth="1"/>
    <col min="26" max="26" width="9.42578125" style="789" hidden="1" customWidth="1"/>
    <col min="27" max="27" width="8" style="789" hidden="1" customWidth="1"/>
    <col min="28" max="28" width="7.5703125" style="271" hidden="1" customWidth="1"/>
    <col min="29" max="30" width="27" style="271" customWidth="1"/>
    <col min="31" max="31" width="12.5703125" style="790" customWidth="1"/>
    <col min="32" max="32" width="12.7109375" style="790" bestFit="1" customWidth="1"/>
    <col min="33" max="33" width="10.140625" style="790" customWidth="1"/>
    <col min="34" max="34" width="7.7109375" style="790" customWidth="1"/>
    <col min="35" max="35" width="10.42578125" style="271" customWidth="1"/>
    <col min="36" max="16384" width="11.42578125" style="271"/>
  </cols>
  <sheetData>
    <row r="1" spans="1:36" s="720" customFormat="1" ht="40.5" customHeight="1" thickBot="1" x14ac:dyDescent="0.3">
      <c r="A1" s="497" t="s">
        <v>182</v>
      </c>
      <c r="B1" s="498"/>
      <c r="C1" s="498"/>
      <c r="D1" s="499"/>
      <c r="E1" s="715"/>
      <c r="F1" s="715"/>
      <c r="G1" s="715"/>
      <c r="H1" s="715"/>
      <c r="I1" s="715"/>
      <c r="J1" s="716"/>
      <c r="K1" s="715">
        <v>2016</v>
      </c>
      <c r="L1" s="715"/>
      <c r="M1" s="715"/>
      <c r="N1" s="715"/>
      <c r="O1" s="715"/>
      <c r="P1" s="716"/>
      <c r="Q1" s="717">
        <v>2017</v>
      </c>
      <c r="R1" s="717"/>
      <c r="S1" s="717"/>
      <c r="T1" s="717"/>
      <c r="U1" s="717"/>
      <c r="V1" s="718"/>
      <c r="W1" s="719">
        <v>2018</v>
      </c>
      <c r="X1" s="715"/>
      <c r="Y1" s="715"/>
      <c r="Z1" s="715"/>
      <c r="AA1" s="715"/>
      <c r="AB1" s="716"/>
      <c r="AC1" s="715" t="s">
        <v>318</v>
      </c>
      <c r="AD1" s="715"/>
      <c r="AE1" s="715"/>
      <c r="AF1" s="715"/>
      <c r="AG1" s="715"/>
      <c r="AH1" s="716"/>
    </row>
    <row r="2" spans="1:36" s="720" customFormat="1" ht="40.5" customHeight="1" thickBot="1" x14ac:dyDescent="0.3">
      <c r="A2" s="500"/>
      <c r="B2" s="501"/>
      <c r="C2" s="501"/>
      <c r="D2" s="502"/>
      <c r="E2" s="719" t="s">
        <v>6</v>
      </c>
      <c r="F2" s="715"/>
      <c r="G2" s="721"/>
      <c r="H2" s="722" t="s">
        <v>7</v>
      </c>
      <c r="I2" s="715"/>
      <c r="J2" s="716"/>
      <c r="K2" s="719" t="s">
        <v>6</v>
      </c>
      <c r="L2" s="715"/>
      <c r="M2" s="721"/>
      <c r="N2" s="722" t="s">
        <v>7</v>
      </c>
      <c r="O2" s="715"/>
      <c r="P2" s="716"/>
      <c r="Q2" s="719" t="s">
        <v>6</v>
      </c>
      <c r="R2" s="715"/>
      <c r="S2" s="721"/>
      <c r="T2" s="722" t="s">
        <v>7</v>
      </c>
      <c r="U2" s="715"/>
      <c r="V2" s="716"/>
      <c r="W2" s="719" t="s">
        <v>6</v>
      </c>
      <c r="X2" s="715"/>
      <c r="Y2" s="721"/>
      <c r="Z2" s="722" t="s">
        <v>7</v>
      </c>
      <c r="AA2" s="715"/>
      <c r="AB2" s="716"/>
      <c r="AC2" s="723" t="s">
        <v>313</v>
      </c>
      <c r="AD2" s="723"/>
      <c r="AE2" s="723"/>
      <c r="AF2" s="723" t="s">
        <v>314</v>
      </c>
      <c r="AG2" s="723"/>
      <c r="AH2" s="724"/>
    </row>
    <row r="3" spans="1:36" s="720" customFormat="1" ht="41.25" thickBot="1" x14ac:dyDescent="0.3">
      <c r="A3" s="725" t="s">
        <v>9</v>
      </c>
      <c r="B3" s="725" t="s">
        <v>10</v>
      </c>
      <c r="C3" s="726" t="s">
        <v>181</v>
      </c>
      <c r="D3" s="708" t="s">
        <v>11</v>
      </c>
      <c r="E3" s="725" t="s">
        <v>177</v>
      </c>
      <c r="F3" s="727" t="s">
        <v>178</v>
      </c>
      <c r="G3" s="728" t="s">
        <v>179</v>
      </c>
      <c r="H3" s="725" t="s">
        <v>177</v>
      </c>
      <c r="I3" s="727" t="s">
        <v>178</v>
      </c>
      <c r="J3" s="729" t="s">
        <v>179</v>
      </c>
      <c r="K3" s="725" t="s">
        <v>177</v>
      </c>
      <c r="L3" s="727" t="s">
        <v>178</v>
      </c>
      <c r="M3" s="728" t="s">
        <v>179</v>
      </c>
      <c r="N3" s="725" t="s">
        <v>177</v>
      </c>
      <c r="O3" s="727" t="s">
        <v>178</v>
      </c>
      <c r="P3" s="729" t="s">
        <v>179</v>
      </c>
      <c r="Q3" s="725" t="s">
        <v>177</v>
      </c>
      <c r="R3" s="727" t="s">
        <v>178</v>
      </c>
      <c r="S3" s="728" t="s">
        <v>179</v>
      </c>
      <c r="T3" s="725" t="s">
        <v>177</v>
      </c>
      <c r="U3" s="727" t="s">
        <v>178</v>
      </c>
      <c r="V3" s="728" t="s">
        <v>179</v>
      </c>
      <c r="W3" s="725" t="s">
        <v>177</v>
      </c>
      <c r="X3" s="727" t="s">
        <v>178</v>
      </c>
      <c r="Y3" s="728" t="s">
        <v>179</v>
      </c>
      <c r="Z3" s="730" t="s">
        <v>177</v>
      </c>
      <c r="AA3" s="731" t="s">
        <v>178</v>
      </c>
      <c r="AB3" s="729" t="s">
        <v>179</v>
      </c>
      <c r="AC3" s="732" t="s">
        <v>177</v>
      </c>
      <c r="AD3" s="727" t="s">
        <v>178</v>
      </c>
      <c r="AE3" s="728" t="s">
        <v>179</v>
      </c>
      <c r="AF3" s="727" t="s">
        <v>177</v>
      </c>
      <c r="AG3" s="727" t="s">
        <v>178</v>
      </c>
      <c r="AH3" s="729" t="s">
        <v>179</v>
      </c>
      <c r="AI3" s="733"/>
    </row>
    <row r="4" spans="1:36" ht="96.75" customHeight="1" x14ac:dyDescent="0.25">
      <c r="A4" s="734" t="s">
        <v>20</v>
      </c>
      <c r="B4" s="735" t="s">
        <v>54</v>
      </c>
      <c r="C4" s="735">
        <v>2</v>
      </c>
      <c r="D4" s="711" t="s">
        <v>78</v>
      </c>
      <c r="E4" s="736" t="s">
        <v>57</v>
      </c>
      <c r="F4" s="737">
        <v>0</v>
      </c>
      <c r="G4" s="738" t="s">
        <v>67</v>
      </c>
      <c r="H4" s="737" t="s">
        <v>57</v>
      </c>
      <c r="I4" s="737" t="s">
        <v>57</v>
      </c>
      <c r="J4" s="739" t="s">
        <v>57</v>
      </c>
      <c r="K4" s="740" t="s">
        <v>80</v>
      </c>
      <c r="L4" s="740" t="s">
        <v>326</v>
      </c>
      <c r="M4" s="741">
        <v>1.1299999999999999</v>
      </c>
      <c r="N4" s="742">
        <v>210.59</v>
      </c>
      <c r="O4" s="742">
        <v>10.24</v>
      </c>
      <c r="P4" s="741">
        <f>+O4/N4</f>
        <v>4.862529084951802E-2</v>
      </c>
      <c r="Q4" s="740" t="s">
        <v>83</v>
      </c>
      <c r="R4" s="743" t="s">
        <v>84</v>
      </c>
      <c r="S4" s="741">
        <f>10.26/10</f>
        <v>1.026</v>
      </c>
      <c r="T4" s="742">
        <v>6</v>
      </c>
      <c r="U4" s="742">
        <v>5.9</v>
      </c>
      <c r="V4" s="741">
        <f>U4/T4</f>
        <v>0.98333333333333339</v>
      </c>
      <c r="W4" s="740" t="s">
        <v>323</v>
      </c>
      <c r="X4" s="744" t="s">
        <v>325</v>
      </c>
      <c r="Y4" s="745">
        <v>0.93</v>
      </c>
      <c r="Z4" s="746">
        <v>3.79</v>
      </c>
      <c r="AA4" s="746">
        <v>0.22500000000000001</v>
      </c>
      <c r="AB4" s="747">
        <v>5.9366754617414245E-2</v>
      </c>
      <c r="AC4" s="850">
        <v>0.1</v>
      </c>
      <c r="AD4" s="851">
        <f>AVERAGE(11.14,10.26,9.28)</f>
        <v>10.226666666666667</v>
      </c>
      <c r="AE4" s="748">
        <f>AVERAGE(G4,M4,S4,Y4)</f>
        <v>1.0286666666666666</v>
      </c>
      <c r="AF4" s="749">
        <f>SUM(N4+T4+Z4)</f>
        <v>220.38</v>
      </c>
      <c r="AG4" s="749">
        <f>SUM(O4+U4+AA4)</f>
        <v>16.365000000000002</v>
      </c>
      <c r="AH4" s="750">
        <f>+AG4/AF4</f>
        <v>7.4258099646065903E-2</v>
      </c>
      <c r="AI4" s="751"/>
    </row>
    <row r="5" spans="1:36" ht="103.5" hidden="1" customHeight="1" x14ac:dyDescent="0.25">
      <c r="A5" s="752"/>
      <c r="B5" s="753"/>
      <c r="C5" s="753"/>
      <c r="D5" s="709"/>
      <c r="E5" s="754"/>
      <c r="F5" s="755"/>
      <c r="G5" s="756"/>
      <c r="H5" s="755"/>
      <c r="I5" s="755"/>
      <c r="J5" s="757"/>
      <c r="K5" s="758"/>
      <c r="L5" s="758"/>
      <c r="M5" s="759"/>
      <c r="N5" s="760"/>
      <c r="O5" s="760"/>
      <c r="P5" s="759"/>
      <c r="Q5" s="758"/>
      <c r="R5" s="761"/>
      <c r="S5" s="759"/>
      <c r="T5" s="760"/>
      <c r="U5" s="760"/>
      <c r="V5" s="759"/>
      <c r="W5" s="758"/>
      <c r="X5" s="762" t="s">
        <v>324</v>
      </c>
      <c r="Y5" s="763"/>
      <c r="Z5" s="764"/>
      <c r="AA5" s="764"/>
      <c r="AB5" s="765"/>
      <c r="AC5" s="852"/>
      <c r="AD5" s="853"/>
      <c r="AE5" s="766"/>
      <c r="AF5" s="793">
        <f t="shared" ref="AF5:AF6" si="0">SUM(N5+T5+Z5)</f>
        <v>0</v>
      </c>
      <c r="AG5" s="793">
        <f t="shared" ref="AG5:AG6" si="1">SUM(O5+U5+AA5)</f>
        <v>0</v>
      </c>
      <c r="AH5" s="767" t="e">
        <f t="shared" ref="AH5:AH8" si="2">+AG5/AF5</f>
        <v>#DIV/0!</v>
      </c>
      <c r="AI5" s="751"/>
    </row>
    <row r="6" spans="1:36" ht="96.75" customHeight="1" x14ac:dyDescent="0.25">
      <c r="A6" s="752" t="s">
        <v>20</v>
      </c>
      <c r="B6" s="753" t="s">
        <v>90</v>
      </c>
      <c r="C6" s="753">
        <v>2</v>
      </c>
      <c r="D6" s="710" t="s">
        <v>110</v>
      </c>
      <c r="E6" s="760">
        <v>25</v>
      </c>
      <c r="F6" s="710">
        <v>0</v>
      </c>
      <c r="G6" s="756">
        <f>+F6/E6</f>
        <v>0</v>
      </c>
      <c r="H6" s="710">
        <v>0</v>
      </c>
      <c r="I6" s="710"/>
      <c r="J6" s="757">
        <v>0</v>
      </c>
      <c r="K6" s="758">
        <v>0.25</v>
      </c>
      <c r="L6" s="768">
        <v>0</v>
      </c>
      <c r="M6" s="759">
        <f>+L6/K6</f>
        <v>0</v>
      </c>
      <c r="N6" s="768">
        <v>3.5</v>
      </c>
      <c r="O6" s="768">
        <v>1.07</v>
      </c>
      <c r="P6" s="759">
        <f>+O6/N6</f>
        <v>0.30571428571428572</v>
      </c>
      <c r="Q6" s="758">
        <v>0.25</v>
      </c>
      <c r="R6" s="758" t="s">
        <v>112</v>
      </c>
      <c r="S6" s="759">
        <v>0.4</v>
      </c>
      <c r="T6" s="768">
        <v>10.5</v>
      </c>
      <c r="U6" s="768">
        <v>10.5</v>
      </c>
      <c r="V6" s="759">
        <f>U6/T6</f>
        <v>1</v>
      </c>
      <c r="W6" s="758">
        <v>0.25</v>
      </c>
      <c r="X6" s="768" t="s">
        <v>329</v>
      </c>
      <c r="Y6" s="769">
        <v>0</v>
      </c>
      <c r="Z6" s="764">
        <v>0</v>
      </c>
      <c r="AA6" s="764">
        <v>0</v>
      </c>
      <c r="AB6" s="765">
        <v>0</v>
      </c>
      <c r="AC6" s="852">
        <v>1</v>
      </c>
      <c r="AD6" s="853">
        <v>0.1</v>
      </c>
      <c r="AE6" s="854">
        <f>AVERAGE(G6,M6,S6,Y6)</f>
        <v>0.1</v>
      </c>
      <c r="AF6" s="793">
        <f t="shared" si="0"/>
        <v>14</v>
      </c>
      <c r="AG6" s="793">
        <f t="shared" si="1"/>
        <v>11.57</v>
      </c>
      <c r="AH6" s="767">
        <f t="shared" si="2"/>
        <v>0.8264285714285714</v>
      </c>
      <c r="AI6" s="338"/>
    </row>
    <row r="7" spans="1:36" ht="57" customHeight="1" x14ac:dyDescent="0.25">
      <c r="A7" s="752" t="s">
        <v>20</v>
      </c>
      <c r="B7" s="753" t="s">
        <v>90</v>
      </c>
      <c r="C7" s="753">
        <v>2</v>
      </c>
      <c r="D7" s="710" t="s">
        <v>114</v>
      </c>
      <c r="E7" s="760">
        <v>150</v>
      </c>
      <c r="F7" s="710">
        <v>2451</v>
      </c>
      <c r="G7" s="756">
        <f>+F7/E7</f>
        <v>16.34</v>
      </c>
      <c r="H7" s="710">
        <v>26.7</v>
      </c>
      <c r="I7" s="710">
        <v>13.9</v>
      </c>
      <c r="J7" s="757">
        <f>+I7/H7</f>
        <v>0.52059925093632964</v>
      </c>
      <c r="K7" s="754">
        <v>150</v>
      </c>
      <c r="L7" s="768">
        <v>1341</v>
      </c>
      <c r="M7" s="759">
        <f>+L7/K7</f>
        <v>8.94</v>
      </c>
      <c r="N7" s="768">
        <v>78.900000000000006</v>
      </c>
      <c r="O7" s="768">
        <v>75.900000000000006</v>
      </c>
      <c r="P7" s="759">
        <f>+O7/N7</f>
        <v>0.96197718631178708</v>
      </c>
      <c r="Q7" s="754">
        <v>150</v>
      </c>
      <c r="R7" s="768">
        <v>1893</v>
      </c>
      <c r="S7" s="759">
        <f>+R7/Q7</f>
        <v>12.62</v>
      </c>
      <c r="T7" s="768">
        <v>480.5</v>
      </c>
      <c r="U7" s="768">
        <v>353.3</v>
      </c>
      <c r="V7" s="759">
        <f>U7/T7</f>
        <v>0.73527575442247661</v>
      </c>
      <c r="W7" s="754">
        <v>150</v>
      </c>
      <c r="X7" s="770">
        <v>415</v>
      </c>
      <c r="Y7" s="763">
        <v>2.77</v>
      </c>
      <c r="Z7" s="764">
        <v>349.08</v>
      </c>
      <c r="AA7" s="764">
        <v>74.5</v>
      </c>
      <c r="AB7" s="765">
        <v>0.2134181276498224</v>
      </c>
      <c r="AC7" s="855">
        <f>SUM(W7+Q7+K7+E7)</f>
        <v>600</v>
      </c>
      <c r="AD7" s="792">
        <f>SUM(F7+L7+R7+X7)</f>
        <v>6100</v>
      </c>
      <c r="AE7" s="854">
        <f>AVERAGE(G7,M7,S7,Y7)</f>
        <v>10.1675</v>
      </c>
      <c r="AF7" s="793">
        <f>SUM(H7+N7+T7+Z7)</f>
        <v>935.18000000000006</v>
      </c>
      <c r="AG7" s="793">
        <f>SUM(I7+O7+U7+AA7)</f>
        <v>517.6</v>
      </c>
      <c r="AH7" s="767">
        <f t="shared" si="2"/>
        <v>0.553476336106418</v>
      </c>
      <c r="AI7" s="338"/>
      <c r="AJ7" s="771">
        <f>(19*100)/30</f>
        <v>63.333333333333336</v>
      </c>
    </row>
    <row r="8" spans="1:36" ht="135.75" customHeight="1" x14ac:dyDescent="0.25">
      <c r="A8" s="752" t="s">
        <v>20</v>
      </c>
      <c r="B8" s="753" t="s">
        <v>90</v>
      </c>
      <c r="C8" s="753">
        <v>2</v>
      </c>
      <c r="D8" s="710" t="s">
        <v>115</v>
      </c>
      <c r="E8" s="760">
        <v>15</v>
      </c>
      <c r="F8" s="710">
        <v>11</v>
      </c>
      <c r="G8" s="756">
        <f>+F8/E8</f>
        <v>0.73333333333333328</v>
      </c>
      <c r="H8" s="710">
        <v>626.92999999999995</v>
      </c>
      <c r="I8" s="710">
        <v>666.81</v>
      </c>
      <c r="J8" s="757">
        <f>+I8/H8</f>
        <v>1.0636115674796229</v>
      </c>
      <c r="K8" s="754">
        <v>30</v>
      </c>
      <c r="L8" s="768">
        <v>22</v>
      </c>
      <c r="M8" s="759">
        <f>+L8/K8</f>
        <v>0.73333333333333328</v>
      </c>
      <c r="N8" s="768">
        <v>351.71</v>
      </c>
      <c r="O8" s="768">
        <v>127.38</v>
      </c>
      <c r="P8" s="759">
        <f>+O8/N8</f>
        <v>0.36217338147905948</v>
      </c>
      <c r="Q8" s="754">
        <v>30</v>
      </c>
      <c r="R8" s="768">
        <v>34</v>
      </c>
      <c r="S8" s="759">
        <f>+R8/Q8</f>
        <v>1.1333333333333333</v>
      </c>
      <c r="T8" s="768">
        <v>135.1</v>
      </c>
      <c r="U8" s="768">
        <v>105.4</v>
      </c>
      <c r="V8" s="759">
        <f>U8/T8</f>
        <v>0.78016284233900823</v>
      </c>
      <c r="W8" s="754">
        <v>30</v>
      </c>
      <c r="X8" s="768" t="s">
        <v>330</v>
      </c>
      <c r="Y8" s="769">
        <v>0.63</v>
      </c>
      <c r="Z8" s="764">
        <v>110.93</v>
      </c>
      <c r="AA8" s="764">
        <v>20.04</v>
      </c>
      <c r="AB8" s="765">
        <v>0.18065446678085278</v>
      </c>
      <c r="AC8" s="855">
        <f>+W8+Q8+K8+E8</f>
        <v>105</v>
      </c>
      <c r="AD8" s="792">
        <f>11+22+31+19</f>
        <v>83</v>
      </c>
      <c r="AE8" s="854">
        <f>AVERAGE(G8,M8,S8,Y8)</f>
        <v>0.80749999999999988</v>
      </c>
      <c r="AF8" s="793">
        <f>SUM(H8+N8+T8+Z8)</f>
        <v>1224.6699999999998</v>
      </c>
      <c r="AG8" s="793">
        <f>SUM(I8+O8+U8+AA8)</f>
        <v>919.62999999999988</v>
      </c>
      <c r="AH8" s="767">
        <f t="shared" si="2"/>
        <v>0.75092065617676595</v>
      </c>
      <c r="AI8" s="338"/>
    </row>
    <row r="9" spans="1:36" ht="179.25" customHeight="1" thickBot="1" x14ac:dyDescent="0.3">
      <c r="A9" s="772" t="s">
        <v>20</v>
      </c>
      <c r="B9" s="773" t="s">
        <v>310</v>
      </c>
      <c r="C9" s="773">
        <v>3</v>
      </c>
      <c r="D9" s="712" t="s">
        <v>312</v>
      </c>
      <c r="E9" s="774" t="s">
        <v>311</v>
      </c>
      <c r="F9" s="774" t="s">
        <v>319</v>
      </c>
      <c r="G9" s="775">
        <f>+(10*33.3/30)+(2*33.3/25)+(15*33.3/15)</f>
        <v>47.063999999999993</v>
      </c>
      <c r="H9" s="776"/>
      <c r="I9" s="776"/>
      <c r="J9" s="777"/>
      <c r="K9" s="774" t="s">
        <v>311</v>
      </c>
      <c r="L9" s="776" t="s">
        <v>320</v>
      </c>
      <c r="M9" s="775">
        <f>+(36*33.3/30)+(6*33.3/25)+(7*33.3/15)</f>
        <v>63.491999999999997</v>
      </c>
      <c r="N9" s="776"/>
      <c r="O9" s="776"/>
      <c r="P9" s="777"/>
      <c r="Q9" s="774" t="s">
        <v>311</v>
      </c>
      <c r="R9" s="776" t="s">
        <v>321</v>
      </c>
      <c r="S9" s="776">
        <f>+(48*33.3/30)+(0*33.3/25)+(18*33.3/15)</f>
        <v>93.24</v>
      </c>
      <c r="T9" s="776"/>
      <c r="U9" s="778"/>
      <c r="V9" s="776"/>
      <c r="W9" s="774" t="s">
        <v>311</v>
      </c>
      <c r="X9" s="776" t="s">
        <v>322</v>
      </c>
      <c r="Y9" s="779">
        <f>+(22*33.3/30)+(20*33.3/25)+(21*33.3/15)</f>
        <v>97.68</v>
      </c>
      <c r="Z9" s="780"/>
      <c r="AA9" s="780"/>
      <c r="AB9" s="781"/>
      <c r="AC9" s="782" t="s">
        <v>327</v>
      </c>
      <c r="AD9" s="774" t="s">
        <v>328</v>
      </c>
      <c r="AE9" s="783">
        <f>AVERAGE(G9,M9,S9,Y9)</f>
        <v>75.369</v>
      </c>
      <c r="AF9" s="784" t="s">
        <v>57</v>
      </c>
      <c r="AG9" s="784" t="s">
        <v>57</v>
      </c>
      <c r="AH9" s="785" t="s">
        <v>57</v>
      </c>
    </row>
  </sheetData>
  <mergeCells count="17">
    <mergeCell ref="D4:D5"/>
    <mergeCell ref="Q1:V1"/>
    <mergeCell ref="W1:AB1"/>
    <mergeCell ref="AC1:AH1"/>
    <mergeCell ref="AC2:AE2"/>
    <mergeCell ref="AF2:AH2"/>
    <mergeCell ref="A1:D2"/>
    <mergeCell ref="H2:J2"/>
    <mergeCell ref="Q2:S2"/>
    <mergeCell ref="T2:V2"/>
    <mergeCell ref="W2:Y2"/>
    <mergeCell ref="Z2:AB2"/>
    <mergeCell ref="E2:G2"/>
    <mergeCell ref="K2:M2"/>
    <mergeCell ref="N2:P2"/>
    <mergeCell ref="E1:J1"/>
    <mergeCell ref="K1:P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7BD45-9B19-4B29-9383-88178D165A8F}">
  <sheetPr codeName="Hoja1"/>
  <dimension ref="A1:AN5"/>
  <sheetViews>
    <sheetView zoomScale="70" zoomScaleNormal="70" workbookViewId="0">
      <pane ySplit="3" topLeftCell="A4" activePane="bottomLeft" state="frozen"/>
      <selection pane="bottomLeft" activeCell="AK5" sqref="A1:AK5"/>
    </sheetView>
  </sheetViews>
  <sheetFormatPr baseColWidth="10" defaultColWidth="11.42578125" defaultRowHeight="20.25" x14ac:dyDescent="0.25"/>
  <cols>
    <col min="1" max="1" width="11.42578125" style="223"/>
    <col min="2" max="2" width="8.5703125" style="245" customWidth="1"/>
    <col min="3" max="3" width="49" style="245" customWidth="1"/>
    <col min="4" max="4" width="18.7109375" style="264" hidden="1" customWidth="1"/>
    <col min="5" max="5" width="7.42578125" style="245" hidden="1" customWidth="1"/>
    <col min="6" max="6" width="8.140625" style="245" hidden="1" customWidth="1"/>
    <col min="7" max="9" width="7.42578125" style="245" hidden="1" customWidth="1"/>
    <col min="10" max="10" width="7.42578125" style="265" hidden="1" customWidth="1"/>
    <col min="11" max="11" width="18.7109375" style="264" hidden="1" customWidth="1"/>
    <col min="12" max="12" width="6.42578125" style="245" hidden="1" customWidth="1"/>
    <col min="13" max="13" width="8.42578125" style="245" hidden="1" customWidth="1"/>
    <col min="14" max="16" width="7.42578125" style="245" hidden="1" customWidth="1"/>
    <col min="17" max="17" width="7.42578125" style="265" hidden="1" customWidth="1"/>
    <col min="18" max="18" width="16.42578125" style="264" hidden="1" customWidth="1"/>
    <col min="19" max="19" width="10.85546875" style="245" hidden="1" customWidth="1"/>
    <col min="20" max="20" width="6.42578125" style="245" hidden="1" customWidth="1"/>
    <col min="21" max="21" width="6.85546875" style="245" hidden="1" customWidth="1"/>
    <col min="22" max="22" width="6.42578125" style="245" hidden="1" customWidth="1"/>
    <col min="23" max="23" width="6" style="266" hidden="1" customWidth="1"/>
    <col min="24" max="24" width="7.85546875" style="245" hidden="1" customWidth="1"/>
    <col min="25" max="25" width="16.42578125" style="264" hidden="1" customWidth="1"/>
    <col min="26" max="26" width="6.42578125" style="245" hidden="1" customWidth="1"/>
    <col min="27" max="27" width="26" style="245" hidden="1" customWidth="1"/>
    <col min="28" max="28" width="7.5703125" style="245" hidden="1" customWidth="1"/>
    <col min="29" max="29" width="8.28515625" style="267" hidden="1" customWidth="1"/>
    <col min="30" max="30" width="9.5703125" style="267" hidden="1" customWidth="1"/>
    <col min="31" max="31" width="7.5703125" style="245" hidden="1" customWidth="1"/>
    <col min="32" max="32" width="13.85546875" style="271" bestFit="1" customWidth="1"/>
    <col min="33" max="33" width="8.140625" style="271" bestFit="1" customWidth="1"/>
    <col min="34" max="34" width="12.5703125" style="790" customWidth="1"/>
    <col min="35" max="35" width="12.7109375" style="790" bestFit="1" customWidth="1"/>
    <col min="36" max="36" width="10.140625" style="790" customWidth="1"/>
    <col min="37" max="37" width="7.7109375" style="790" customWidth="1"/>
    <col min="38" max="38" width="10.42578125" style="245" customWidth="1"/>
    <col min="39" max="16384" width="11.42578125" style="245"/>
  </cols>
  <sheetData>
    <row r="1" spans="1:40" s="223" customFormat="1" ht="43.5" customHeight="1" thickBot="1" x14ac:dyDescent="0.3">
      <c r="A1" s="819" t="s">
        <v>331</v>
      </c>
      <c r="B1" s="820"/>
      <c r="C1" s="821"/>
      <c r="D1" s="802">
        <v>2015</v>
      </c>
      <c r="E1" s="795"/>
      <c r="F1" s="795"/>
      <c r="G1" s="795"/>
      <c r="H1" s="795"/>
      <c r="I1" s="795"/>
      <c r="J1" s="795"/>
      <c r="K1" s="795">
        <v>2016</v>
      </c>
      <c r="L1" s="795"/>
      <c r="M1" s="795"/>
      <c r="N1" s="795"/>
      <c r="O1" s="795"/>
      <c r="P1" s="795"/>
      <c r="Q1" s="795"/>
      <c r="R1" s="794">
        <v>2017</v>
      </c>
      <c r="S1" s="794"/>
      <c r="T1" s="794"/>
      <c r="U1" s="794"/>
      <c r="V1" s="794"/>
      <c r="W1" s="794"/>
      <c r="X1" s="794"/>
      <c r="Y1" s="795">
        <v>2018</v>
      </c>
      <c r="Z1" s="795"/>
      <c r="AA1" s="795"/>
      <c r="AB1" s="795"/>
      <c r="AC1" s="795"/>
      <c r="AD1" s="795"/>
      <c r="AE1" s="828"/>
      <c r="AF1" s="832" t="s">
        <v>318</v>
      </c>
      <c r="AG1" s="833"/>
      <c r="AH1" s="833"/>
      <c r="AI1" s="833"/>
      <c r="AJ1" s="833"/>
      <c r="AK1" s="834"/>
    </row>
    <row r="2" spans="1:40" s="223" customFormat="1" ht="43.5" customHeight="1" thickBot="1" x14ac:dyDescent="0.3">
      <c r="A2" s="838"/>
      <c r="B2" s="839"/>
      <c r="C2" s="840"/>
      <c r="D2" s="803" t="s">
        <v>5</v>
      </c>
      <c r="E2" s="791" t="s">
        <v>6</v>
      </c>
      <c r="F2" s="791"/>
      <c r="G2" s="791"/>
      <c r="H2" s="791" t="s">
        <v>7</v>
      </c>
      <c r="I2" s="791"/>
      <c r="J2" s="791"/>
      <c r="K2" s="791" t="s">
        <v>5</v>
      </c>
      <c r="L2" s="791" t="s">
        <v>6</v>
      </c>
      <c r="M2" s="791"/>
      <c r="N2" s="791"/>
      <c r="O2" s="791" t="s">
        <v>7</v>
      </c>
      <c r="P2" s="791"/>
      <c r="Q2" s="791"/>
      <c r="R2" s="791" t="s">
        <v>5</v>
      </c>
      <c r="S2" s="791" t="s">
        <v>6</v>
      </c>
      <c r="T2" s="791"/>
      <c r="U2" s="791"/>
      <c r="V2" s="791" t="s">
        <v>7</v>
      </c>
      <c r="W2" s="791"/>
      <c r="X2" s="791"/>
      <c r="Y2" s="791" t="s">
        <v>5</v>
      </c>
      <c r="Z2" s="791" t="s">
        <v>6</v>
      </c>
      <c r="AA2" s="791"/>
      <c r="AB2" s="791"/>
      <c r="AC2" s="791" t="s">
        <v>7</v>
      </c>
      <c r="AD2" s="791"/>
      <c r="AE2" s="822"/>
      <c r="AF2" s="829" t="s">
        <v>313</v>
      </c>
      <c r="AG2" s="830"/>
      <c r="AH2" s="831"/>
      <c r="AI2" s="842" t="s">
        <v>314</v>
      </c>
      <c r="AJ2" s="830"/>
      <c r="AK2" s="831"/>
    </row>
    <row r="3" spans="1:40" s="223" customFormat="1" ht="43.5" customHeight="1" thickBot="1" x14ac:dyDescent="0.3">
      <c r="A3" s="835" t="s">
        <v>9</v>
      </c>
      <c r="B3" s="836" t="s">
        <v>10</v>
      </c>
      <c r="C3" s="837" t="s">
        <v>11</v>
      </c>
      <c r="D3" s="812"/>
      <c r="E3" s="813" t="s">
        <v>177</v>
      </c>
      <c r="F3" s="813" t="s">
        <v>178</v>
      </c>
      <c r="G3" s="814" t="s">
        <v>179</v>
      </c>
      <c r="H3" s="813" t="s">
        <v>177</v>
      </c>
      <c r="I3" s="813" t="s">
        <v>178</v>
      </c>
      <c r="J3" s="814" t="s">
        <v>179</v>
      </c>
      <c r="K3" s="815"/>
      <c r="L3" s="813" t="s">
        <v>177</v>
      </c>
      <c r="M3" s="813" t="s">
        <v>178</v>
      </c>
      <c r="N3" s="814" t="s">
        <v>179</v>
      </c>
      <c r="O3" s="813" t="s">
        <v>177</v>
      </c>
      <c r="P3" s="813" t="s">
        <v>178</v>
      </c>
      <c r="Q3" s="814" t="s">
        <v>179</v>
      </c>
      <c r="R3" s="815"/>
      <c r="S3" s="813" t="s">
        <v>177</v>
      </c>
      <c r="T3" s="813" t="s">
        <v>178</v>
      </c>
      <c r="U3" s="814" t="s">
        <v>179</v>
      </c>
      <c r="V3" s="813" t="s">
        <v>177</v>
      </c>
      <c r="W3" s="813" t="s">
        <v>178</v>
      </c>
      <c r="X3" s="814" t="s">
        <v>179</v>
      </c>
      <c r="Y3" s="815"/>
      <c r="Z3" s="813" t="s">
        <v>177</v>
      </c>
      <c r="AA3" s="813" t="s">
        <v>178</v>
      </c>
      <c r="AB3" s="814" t="s">
        <v>179</v>
      </c>
      <c r="AC3" s="816" t="s">
        <v>177</v>
      </c>
      <c r="AD3" s="816" t="s">
        <v>178</v>
      </c>
      <c r="AE3" s="814" t="s">
        <v>179</v>
      </c>
      <c r="AF3" s="823" t="s">
        <v>177</v>
      </c>
      <c r="AG3" s="823" t="s">
        <v>178</v>
      </c>
      <c r="AH3" s="824" t="s">
        <v>179</v>
      </c>
      <c r="AI3" s="823" t="s">
        <v>177</v>
      </c>
      <c r="AJ3" s="823" t="s">
        <v>178</v>
      </c>
      <c r="AK3" s="841" t="s">
        <v>179</v>
      </c>
      <c r="AL3" s="232"/>
    </row>
    <row r="4" spans="1:40" s="341" customFormat="1" ht="157.5" customHeight="1" x14ac:dyDescent="0.25">
      <c r="A4" s="329" t="s">
        <v>20</v>
      </c>
      <c r="B4" s="288" t="s">
        <v>33</v>
      </c>
      <c r="C4" s="817" t="s">
        <v>183</v>
      </c>
      <c r="D4" s="805" t="s">
        <v>48</v>
      </c>
      <c r="E4" s="326">
        <v>500</v>
      </c>
      <c r="F4" s="326">
        <v>756</v>
      </c>
      <c r="G4" s="806">
        <f>+F4/E4</f>
        <v>1.512</v>
      </c>
      <c r="H4" s="326">
        <v>173.7</v>
      </c>
      <c r="I4" s="326">
        <v>157.19999999999999</v>
      </c>
      <c r="J4" s="806">
        <f>+I4/H4</f>
        <v>0.9050086355785838</v>
      </c>
      <c r="K4" s="328" t="s">
        <v>48</v>
      </c>
      <c r="L4" s="328">
        <v>500</v>
      </c>
      <c r="M4" s="328">
        <v>2410</v>
      </c>
      <c r="N4" s="275">
        <f>+M4/L4</f>
        <v>4.82</v>
      </c>
      <c r="O4" s="328">
        <v>137</v>
      </c>
      <c r="P4" s="328">
        <v>128.80000000000001</v>
      </c>
      <c r="Q4" s="275">
        <f>+P4/O4</f>
        <v>0.94014598540145988</v>
      </c>
      <c r="R4" s="328" t="s">
        <v>48</v>
      </c>
      <c r="S4" s="328">
        <v>500</v>
      </c>
      <c r="T4" s="328">
        <v>1329</v>
      </c>
      <c r="U4" s="275">
        <f>+T4/S4</f>
        <v>2.6579999999999999</v>
      </c>
      <c r="V4" s="328">
        <v>75</v>
      </c>
      <c r="W4" s="328">
        <v>57</v>
      </c>
      <c r="X4" s="275">
        <f>W4/V4</f>
        <v>0.76</v>
      </c>
      <c r="Y4" s="328" t="s">
        <v>48</v>
      </c>
      <c r="Z4" s="328">
        <v>500</v>
      </c>
      <c r="AA4" s="328" t="s">
        <v>187</v>
      </c>
      <c r="AB4" s="331">
        <v>3.98</v>
      </c>
      <c r="AC4" s="277">
        <v>90.8</v>
      </c>
      <c r="AD4" s="277">
        <v>20.49</v>
      </c>
      <c r="AE4" s="807">
        <v>0.22566079295154184</v>
      </c>
      <c r="AF4" s="808">
        <f>SUM(E4+L4+S4+Z4)</f>
        <v>2000</v>
      </c>
      <c r="AG4" s="808">
        <f>SUM(F4+M4+T4+1992)</f>
        <v>6487</v>
      </c>
      <c r="AH4" s="809">
        <f>AVERAGE(G4,N4,U4,AB4)</f>
        <v>3.2425000000000002</v>
      </c>
      <c r="AI4" s="810">
        <f>SUM(H4+O4+V4+AC4)</f>
        <v>476.5</v>
      </c>
      <c r="AJ4" s="810">
        <f>SUM(I4+P4+W4+AD4)</f>
        <v>363.49</v>
      </c>
      <c r="AK4" s="811">
        <f>+AJ4/AI4</f>
        <v>0.7628331584470095</v>
      </c>
      <c r="AL4" s="340"/>
      <c r="AN4" s="249">
        <f>(1992*100)/500</f>
        <v>398.4</v>
      </c>
    </row>
    <row r="5" spans="1:40" ht="149.25" customHeight="1" thickBot="1" x14ac:dyDescent="0.3">
      <c r="A5" s="257" t="s">
        <v>20</v>
      </c>
      <c r="B5" s="251" t="s">
        <v>33</v>
      </c>
      <c r="C5" s="818" t="s">
        <v>184</v>
      </c>
      <c r="D5" s="804" t="s">
        <v>51</v>
      </c>
      <c r="E5" s="342">
        <v>100</v>
      </c>
      <c r="F5" s="342">
        <v>27</v>
      </c>
      <c r="G5" s="255">
        <f>+F5/E5</f>
        <v>0.27</v>
      </c>
      <c r="H5" s="342">
        <v>173.7</v>
      </c>
      <c r="I5" s="342">
        <v>157.19999999999999</v>
      </c>
      <c r="J5" s="796">
        <f>+I5/H5</f>
        <v>0.9050086355785838</v>
      </c>
      <c r="K5" s="258" t="s">
        <v>51</v>
      </c>
      <c r="L5" s="713">
        <v>50</v>
      </c>
      <c r="M5" s="258">
        <v>134</v>
      </c>
      <c r="N5" s="259">
        <f>+M5/L5</f>
        <v>2.68</v>
      </c>
      <c r="O5" s="258">
        <v>44.22</v>
      </c>
      <c r="P5" s="258">
        <v>41.57</v>
      </c>
      <c r="Q5" s="259">
        <f>+P5/O5</f>
        <v>0.94007236544549977</v>
      </c>
      <c r="R5" s="258" t="s">
        <v>51</v>
      </c>
      <c r="S5" s="713">
        <v>100</v>
      </c>
      <c r="T5" s="258">
        <v>105</v>
      </c>
      <c r="U5" s="259">
        <f>+T5/S5</f>
        <v>1.05</v>
      </c>
      <c r="V5" s="258">
        <v>58.4</v>
      </c>
      <c r="W5" s="258">
        <v>50.8</v>
      </c>
      <c r="X5" s="259">
        <f>W5/V5</f>
        <v>0.86986301369863006</v>
      </c>
      <c r="Y5" s="258" t="s">
        <v>51</v>
      </c>
      <c r="Z5" s="713">
        <v>50</v>
      </c>
      <c r="AA5" s="713" t="s">
        <v>188</v>
      </c>
      <c r="AB5" s="261">
        <v>3.2</v>
      </c>
      <c r="AC5" s="262">
        <v>155.25</v>
      </c>
      <c r="AD5" s="262">
        <v>31.97</v>
      </c>
      <c r="AE5" s="797">
        <v>0.20592592592592593</v>
      </c>
      <c r="AF5" s="798">
        <f>SUM(E5+L5+S5+Z5)</f>
        <v>300</v>
      </c>
      <c r="AG5" s="798">
        <f>SUM(F5+M5+T5+160)</f>
        <v>426</v>
      </c>
      <c r="AH5" s="799">
        <f>+AG5/AF5</f>
        <v>1.42</v>
      </c>
      <c r="AI5" s="800">
        <f>SUM(H5+O5+V5+AC5)</f>
        <v>431.57</v>
      </c>
      <c r="AJ5" s="800">
        <f>SUM(I5+P5+W5+AD5)</f>
        <v>281.53999999999996</v>
      </c>
      <c r="AK5" s="801">
        <f>+AJ5/AI5</f>
        <v>0.65236230507217829</v>
      </c>
      <c r="AL5" s="247"/>
    </row>
  </sheetData>
  <mergeCells count="20">
    <mergeCell ref="AI2:AK2"/>
    <mergeCell ref="A1:C2"/>
    <mergeCell ref="D1:J1"/>
    <mergeCell ref="K1:Q1"/>
    <mergeCell ref="R1:X1"/>
    <mergeCell ref="Y1:AE1"/>
    <mergeCell ref="D2:D3"/>
    <mergeCell ref="E2:G2"/>
    <mergeCell ref="H2:J2"/>
    <mergeCell ref="K2:K3"/>
    <mergeCell ref="L2:N2"/>
    <mergeCell ref="O2:Q2"/>
    <mergeCell ref="R2:R3"/>
    <mergeCell ref="S2:U2"/>
    <mergeCell ref="V2:X2"/>
    <mergeCell ref="Y2:Y3"/>
    <mergeCell ref="Z2:AB2"/>
    <mergeCell ref="AC2:AE2"/>
    <mergeCell ref="AF1:AK1"/>
    <mergeCell ref="AF2:A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3CB72-332D-442B-AA4C-EB0851CBB7B7}">
  <sheetPr codeName="Hoja5"/>
  <dimension ref="A1:AL4"/>
  <sheetViews>
    <sheetView zoomScale="69" zoomScaleNormal="69" workbookViewId="0">
      <pane ySplit="3" topLeftCell="A4" activePane="bottomLeft" state="frozen"/>
      <selection pane="bottomLeft" sqref="A1:AK4"/>
    </sheetView>
  </sheetViews>
  <sheetFormatPr baseColWidth="10" defaultColWidth="11.42578125" defaultRowHeight="20.25" x14ac:dyDescent="0.25"/>
  <cols>
    <col min="1" max="1" width="11.42578125" style="47"/>
    <col min="2" max="2" width="12.28515625" style="1" customWidth="1"/>
    <col min="3" max="3" width="46.5703125" style="1" customWidth="1"/>
    <col min="4" max="4" width="18.7109375" style="42" hidden="1" customWidth="1"/>
    <col min="5" max="5" width="6.7109375" style="1" hidden="1" customWidth="1"/>
    <col min="6" max="6" width="6.42578125" style="1" hidden="1" customWidth="1"/>
    <col min="7" max="7" width="7.140625" style="1" hidden="1" customWidth="1"/>
    <col min="8" max="8" width="6.7109375" style="1" hidden="1" customWidth="1"/>
    <col min="9" max="9" width="7" style="1" hidden="1" customWidth="1"/>
    <col min="10" max="10" width="7.140625" style="48" hidden="1" customWidth="1"/>
    <col min="11" max="11" width="17.7109375" style="42" hidden="1" customWidth="1"/>
    <col min="12" max="12" width="6.5703125" style="1" hidden="1" customWidth="1"/>
    <col min="13" max="13" width="6.42578125" style="1" hidden="1" customWidth="1"/>
    <col min="14" max="14" width="7.140625" style="1" hidden="1" customWidth="1"/>
    <col min="15" max="16" width="8.28515625" style="1" hidden="1" customWidth="1"/>
    <col min="17" max="17" width="6.28515625" style="48" hidden="1" customWidth="1"/>
    <col min="18" max="18" width="13.85546875" style="42" hidden="1" customWidth="1"/>
    <col min="19" max="20" width="7.7109375" style="1" hidden="1" customWidth="1"/>
    <col min="21" max="21" width="7.140625" style="1" hidden="1" customWidth="1"/>
    <col min="22" max="22" width="7" style="1" hidden="1" customWidth="1"/>
    <col min="23" max="23" width="7" style="49" hidden="1" customWidth="1"/>
    <col min="24" max="24" width="7.140625" style="1" hidden="1" customWidth="1"/>
    <col min="25" max="25" width="13.85546875" style="42" hidden="1" customWidth="1"/>
    <col min="26" max="26" width="7.7109375" style="1" hidden="1" customWidth="1"/>
    <col min="27" max="27" width="21.7109375" style="1" hidden="1" customWidth="1"/>
    <col min="28" max="28" width="7.42578125" style="1" hidden="1" customWidth="1"/>
    <col min="29" max="29" width="6.7109375" style="183" hidden="1" customWidth="1"/>
    <col min="30" max="30" width="6" style="183" hidden="1" customWidth="1"/>
    <col min="31" max="31" width="6.28515625" style="1" hidden="1" customWidth="1"/>
    <col min="32" max="32" width="13.85546875" style="271" bestFit="1" customWidth="1"/>
    <col min="33" max="33" width="9.85546875" style="271" bestFit="1" customWidth="1"/>
    <col min="34" max="34" width="12.5703125" style="790" customWidth="1"/>
    <col min="35" max="35" width="12.7109375" style="790" bestFit="1" customWidth="1"/>
    <col min="36" max="36" width="10.140625" style="790" customWidth="1"/>
    <col min="37" max="37" width="7.7109375" style="790" customWidth="1"/>
    <col min="38" max="38" width="10.42578125" style="1" customWidth="1"/>
    <col min="39" max="16384" width="11.42578125" style="1"/>
  </cols>
  <sheetData>
    <row r="1" spans="1:38" s="47" customFormat="1" ht="60" customHeight="1" thickBot="1" x14ac:dyDescent="0.3">
      <c r="A1" s="525" t="s">
        <v>332</v>
      </c>
      <c r="B1" s="526"/>
      <c r="C1" s="526"/>
      <c r="D1" s="505">
        <v>2015</v>
      </c>
      <c r="E1" s="489"/>
      <c r="F1" s="489"/>
      <c r="G1" s="489"/>
      <c r="H1" s="489"/>
      <c r="I1" s="489"/>
      <c r="J1" s="490"/>
      <c r="K1" s="505">
        <v>2016</v>
      </c>
      <c r="L1" s="489"/>
      <c r="M1" s="489"/>
      <c r="N1" s="489"/>
      <c r="O1" s="489"/>
      <c r="P1" s="489"/>
      <c r="Q1" s="490"/>
      <c r="R1" s="508">
        <v>2017</v>
      </c>
      <c r="S1" s="509"/>
      <c r="T1" s="509"/>
      <c r="U1" s="509"/>
      <c r="V1" s="509"/>
      <c r="W1" s="509"/>
      <c r="X1" s="510"/>
      <c r="Y1" s="505">
        <v>2018</v>
      </c>
      <c r="Z1" s="489"/>
      <c r="AA1" s="489"/>
      <c r="AB1" s="489"/>
      <c r="AC1" s="489"/>
      <c r="AD1" s="489"/>
      <c r="AE1" s="490"/>
      <c r="AF1" s="832" t="s">
        <v>318</v>
      </c>
      <c r="AG1" s="833"/>
      <c r="AH1" s="833"/>
      <c r="AI1" s="833"/>
      <c r="AJ1" s="833"/>
      <c r="AK1" s="834"/>
    </row>
    <row r="2" spans="1:38" s="47" customFormat="1" ht="57" customHeight="1" thickBot="1" x14ac:dyDescent="0.3">
      <c r="A2" s="527"/>
      <c r="B2" s="528"/>
      <c r="C2" s="528"/>
      <c r="D2" s="484" t="s">
        <v>5</v>
      </c>
      <c r="E2" s="505" t="s">
        <v>6</v>
      </c>
      <c r="F2" s="489"/>
      <c r="G2" s="506"/>
      <c r="H2" s="488" t="s">
        <v>7</v>
      </c>
      <c r="I2" s="489"/>
      <c r="J2" s="490"/>
      <c r="K2" s="493" t="s">
        <v>5</v>
      </c>
      <c r="L2" s="505" t="s">
        <v>6</v>
      </c>
      <c r="M2" s="489"/>
      <c r="N2" s="506"/>
      <c r="O2" s="488" t="s">
        <v>7</v>
      </c>
      <c r="P2" s="489"/>
      <c r="Q2" s="490"/>
      <c r="R2" s="493" t="s">
        <v>5</v>
      </c>
      <c r="S2" s="505" t="s">
        <v>6</v>
      </c>
      <c r="T2" s="489"/>
      <c r="U2" s="506"/>
      <c r="V2" s="488" t="s">
        <v>7</v>
      </c>
      <c r="W2" s="489"/>
      <c r="X2" s="490"/>
      <c r="Y2" s="493" t="s">
        <v>5</v>
      </c>
      <c r="Z2" s="505" t="s">
        <v>6</v>
      </c>
      <c r="AA2" s="489"/>
      <c r="AB2" s="506"/>
      <c r="AC2" s="488" t="s">
        <v>7</v>
      </c>
      <c r="AD2" s="489"/>
      <c r="AE2" s="490"/>
      <c r="AF2" s="829" t="s">
        <v>313</v>
      </c>
      <c r="AG2" s="830"/>
      <c r="AH2" s="831"/>
      <c r="AI2" s="842" t="s">
        <v>314</v>
      </c>
      <c r="AJ2" s="830"/>
      <c r="AK2" s="831"/>
    </row>
    <row r="3" spans="1:38" s="47" customFormat="1" ht="45" customHeight="1" thickBot="1" x14ac:dyDescent="0.3">
      <c r="A3" s="226" t="s">
        <v>9</v>
      </c>
      <c r="B3" s="279" t="s">
        <v>10</v>
      </c>
      <c r="C3" s="339" t="s">
        <v>11</v>
      </c>
      <c r="D3" s="507"/>
      <c r="E3" s="226" t="s">
        <v>177</v>
      </c>
      <c r="F3" s="227" t="s">
        <v>178</v>
      </c>
      <c r="G3" s="228" t="s">
        <v>179</v>
      </c>
      <c r="H3" s="226" t="s">
        <v>177</v>
      </c>
      <c r="I3" s="227" t="s">
        <v>178</v>
      </c>
      <c r="J3" s="229" t="s">
        <v>179</v>
      </c>
      <c r="K3" s="494"/>
      <c r="L3" s="226" t="s">
        <v>177</v>
      </c>
      <c r="M3" s="227" t="s">
        <v>178</v>
      </c>
      <c r="N3" s="228" t="s">
        <v>179</v>
      </c>
      <c r="O3" s="226" t="s">
        <v>177</v>
      </c>
      <c r="P3" s="227" t="s">
        <v>178</v>
      </c>
      <c r="Q3" s="229" t="s">
        <v>179</v>
      </c>
      <c r="R3" s="494"/>
      <c r="S3" s="226" t="s">
        <v>177</v>
      </c>
      <c r="T3" s="227" t="s">
        <v>178</v>
      </c>
      <c r="U3" s="228" t="s">
        <v>179</v>
      </c>
      <c r="V3" s="226" t="s">
        <v>177</v>
      </c>
      <c r="W3" s="227" t="s">
        <v>178</v>
      </c>
      <c r="X3" s="228" t="s">
        <v>179</v>
      </c>
      <c r="Y3" s="494"/>
      <c r="Z3" s="226" t="s">
        <v>177</v>
      </c>
      <c r="AA3" s="227" t="s">
        <v>178</v>
      </c>
      <c r="AB3" s="228" t="s">
        <v>179</v>
      </c>
      <c r="AC3" s="230" t="s">
        <v>177</v>
      </c>
      <c r="AD3" s="231" t="s">
        <v>178</v>
      </c>
      <c r="AE3" s="229" t="s">
        <v>179</v>
      </c>
      <c r="AF3" s="823" t="s">
        <v>177</v>
      </c>
      <c r="AG3" s="823" t="s">
        <v>178</v>
      </c>
      <c r="AH3" s="824" t="s">
        <v>179</v>
      </c>
      <c r="AI3" s="823" t="s">
        <v>177</v>
      </c>
      <c r="AJ3" s="823" t="s">
        <v>178</v>
      </c>
      <c r="AK3" s="841" t="s">
        <v>179</v>
      </c>
      <c r="AL3" s="50"/>
    </row>
    <row r="4" spans="1:38" s="282" customFormat="1" ht="205.5" thickBot="1" x14ac:dyDescent="0.3">
      <c r="A4" s="848" t="s">
        <v>20</v>
      </c>
      <c r="B4" s="849" t="s">
        <v>33</v>
      </c>
      <c r="C4" s="409" t="s">
        <v>43</v>
      </c>
      <c r="D4" s="410" t="s">
        <v>44</v>
      </c>
      <c r="E4" s="411">
        <v>1800</v>
      </c>
      <c r="F4" s="412">
        <v>3637</v>
      </c>
      <c r="G4" s="413">
        <f>+F4/E4</f>
        <v>2.0205555555555557</v>
      </c>
      <c r="H4" s="412">
        <v>34.700000000000003</v>
      </c>
      <c r="I4" s="412">
        <v>37.25</v>
      </c>
      <c r="J4" s="414">
        <f>+I4/H4</f>
        <v>1.073487031700288</v>
      </c>
      <c r="K4" s="410" t="s">
        <v>45</v>
      </c>
      <c r="L4" s="415">
        <v>1800</v>
      </c>
      <c r="M4" s="416">
        <v>7499</v>
      </c>
      <c r="N4" s="417">
        <f>+M4/L4</f>
        <v>4.1661111111111113</v>
      </c>
      <c r="O4" s="416">
        <v>388.66</v>
      </c>
      <c r="P4" s="416">
        <v>259.37</v>
      </c>
      <c r="Q4" s="418">
        <f>+P4/O4</f>
        <v>0.66734420830545971</v>
      </c>
      <c r="R4" s="410">
        <v>3000</v>
      </c>
      <c r="S4" s="415">
        <v>10000</v>
      </c>
      <c r="T4" s="416">
        <v>12176</v>
      </c>
      <c r="U4" s="417">
        <f>+T4/S4</f>
        <v>1.2176</v>
      </c>
      <c r="V4" s="416">
        <v>10.3</v>
      </c>
      <c r="W4" s="419">
        <v>10.3</v>
      </c>
      <c r="X4" s="418">
        <f>W4/V4</f>
        <v>1</v>
      </c>
      <c r="Y4" s="410">
        <v>3800</v>
      </c>
      <c r="Z4" s="415">
        <v>11800</v>
      </c>
      <c r="AA4" s="420" t="s">
        <v>189</v>
      </c>
      <c r="AB4" s="421">
        <v>1.29</v>
      </c>
      <c r="AC4" s="422">
        <v>38.6</v>
      </c>
      <c r="AD4" s="422">
        <v>2.4</v>
      </c>
      <c r="AE4" s="423">
        <v>6.2176165803108807E-2</v>
      </c>
      <c r="AF4" s="843">
        <f>SUM(E4+L4+S4+Z4)</f>
        <v>25400</v>
      </c>
      <c r="AG4" s="844">
        <f>+F4+M4+T4+15191</f>
        <v>38503</v>
      </c>
      <c r="AH4" s="845">
        <f>+AG4/AF4</f>
        <v>1.5158661417322834</v>
      </c>
      <c r="AI4" s="846">
        <f>SUM(H4+O4+V4+AC4)</f>
        <v>472.26000000000005</v>
      </c>
      <c r="AJ4" s="846">
        <f>SUM(I4+P4+W4+AD4)</f>
        <v>309.32</v>
      </c>
      <c r="AK4" s="847">
        <f>+AJ4/AI4</f>
        <v>0.6549781899800956</v>
      </c>
      <c r="AL4" s="281"/>
    </row>
  </sheetData>
  <mergeCells count="20">
    <mergeCell ref="AI2:AK2"/>
    <mergeCell ref="A1:C2"/>
    <mergeCell ref="D1:J1"/>
    <mergeCell ref="K1:Q1"/>
    <mergeCell ref="R1:X1"/>
    <mergeCell ref="Y1:AE1"/>
    <mergeCell ref="D2:D3"/>
    <mergeCell ref="E2:G2"/>
    <mergeCell ref="H2:J2"/>
    <mergeCell ref="K2:K3"/>
    <mergeCell ref="L2:N2"/>
    <mergeCell ref="O2:Q2"/>
    <mergeCell ref="R2:R3"/>
    <mergeCell ref="S2:U2"/>
    <mergeCell ref="V2:X2"/>
    <mergeCell ref="Y2:Y3"/>
    <mergeCell ref="Z2:AB2"/>
    <mergeCell ref="AC2:AE2"/>
    <mergeCell ref="AF1:AK1"/>
    <mergeCell ref="AF2:A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D015D-F7DB-424A-BA3B-52F7307ED7E4}">
  <sheetPr codeName="Hoja6"/>
  <dimension ref="A1:AJ5"/>
  <sheetViews>
    <sheetView zoomScale="70" zoomScaleNormal="70" workbookViewId="0">
      <pane ySplit="3" topLeftCell="A4" activePane="bottomLeft" state="frozen"/>
      <selection pane="bottomLeft" sqref="A1:AI5"/>
    </sheetView>
  </sheetViews>
  <sheetFormatPr baseColWidth="10" defaultColWidth="11.42578125" defaultRowHeight="17.25" x14ac:dyDescent="0.25"/>
  <cols>
    <col min="1" max="1" width="11.42578125" style="223"/>
    <col min="2" max="2" width="12.28515625" style="245" customWidth="1"/>
    <col min="3" max="3" width="57.5703125" style="245" customWidth="1"/>
    <col min="4" max="4" width="18.7109375" style="264" hidden="1" customWidth="1"/>
    <col min="5" max="5" width="6.5703125" style="245" hidden="1" customWidth="1"/>
    <col min="6" max="6" width="7.7109375" style="245" hidden="1" customWidth="1"/>
    <col min="7" max="7" width="7.140625" style="245" hidden="1" customWidth="1"/>
    <col min="8" max="8" width="6.5703125" style="245" hidden="1" customWidth="1"/>
    <col min="9" max="9" width="6.42578125" style="245" hidden="1" customWidth="1"/>
    <col min="10" max="10" width="6.28515625" style="265" hidden="1" customWidth="1"/>
    <col min="11" max="11" width="17.42578125" style="245" hidden="1" customWidth="1"/>
    <col min="12" max="12" width="7.7109375" style="245" hidden="1" customWidth="1"/>
    <col min="13" max="13" width="7.140625" style="245" hidden="1" customWidth="1"/>
    <col min="14" max="15" width="8.28515625" style="245" hidden="1" customWidth="1"/>
    <col min="16" max="16" width="6.28515625" style="265" hidden="1" customWidth="1"/>
    <col min="17" max="17" width="6.5703125" style="245" hidden="1" customWidth="1"/>
    <col min="18" max="18" width="7.7109375" style="245" hidden="1" customWidth="1"/>
    <col min="19" max="19" width="7.140625" style="245" hidden="1" customWidth="1"/>
    <col min="20" max="20" width="8.140625" style="245" hidden="1" customWidth="1"/>
    <col min="21" max="21" width="8.140625" style="266" hidden="1" customWidth="1"/>
    <col min="22" max="22" width="7.85546875" style="245" hidden="1" customWidth="1"/>
    <col min="23" max="23" width="16.42578125" style="264" hidden="1" customWidth="1"/>
    <col min="24" max="24" width="17.28515625" style="245" hidden="1" customWidth="1"/>
    <col min="25" max="25" width="8.85546875" style="245" hidden="1" customWidth="1"/>
    <col min="26" max="26" width="7.42578125" style="245" hidden="1" customWidth="1"/>
    <col min="27" max="27" width="7" style="267" hidden="1" customWidth="1"/>
    <col min="28" max="28" width="6" style="267" hidden="1" customWidth="1"/>
    <col min="29" max="29" width="6.28515625" style="245" hidden="1" customWidth="1"/>
    <col min="30" max="31" width="12.140625" style="245" customWidth="1"/>
    <col min="32" max="35" width="12.140625" style="268" customWidth="1"/>
    <col min="36" max="36" width="10.42578125" style="245" customWidth="1"/>
    <col min="37" max="16384" width="11.42578125" style="245"/>
  </cols>
  <sheetData>
    <row r="1" spans="1:36" s="223" customFormat="1" ht="46.5" customHeight="1" thickBot="1" x14ac:dyDescent="0.3">
      <c r="A1" s="519" t="s">
        <v>195</v>
      </c>
      <c r="B1" s="520"/>
      <c r="C1" s="521"/>
      <c r="D1" s="489">
        <v>2015</v>
      </c>
      <c r="E1" s="489"/>
      <c r="F1" s="489"/>
      <c r="G1" s="489"/>
      <c r="H1" s="489"/>
      <c r="I1" s="489"/>
      <c r="J1" s="490"/>
      <c r="K1" s="489"/>
      <c r="L1" s="489"/>
      <c r="M1" s="489"/>
      <c r="N1" s="489"/>
      <c r="O1" s="489"/>
      <c r="P1" s="490"/>
      <c r="Q1" s="509"/>
      <c r="R1" s="509"/>
      <c r="S1" s="509"/>
      <c r="T1" s="509"/>
      <c r="U1" s="509"/>
      <c r="V1" s="510"/>
      <c r="W1" s="505">
        <v>2018</v>
      </c>
      <c r="X1" s="489"/>
      <c r="Y1" s="489"/>
      <c r="Z1" s="489"/>
      <c r="AA1" s="489"/>
      <c r="AB1" s="489"/>
      <c r="AC1" s="489"/>
      <c r="AD1" s="832" t="s">
        <v>318</v>
      </c>
      <c r="AE1" s="833"/>
      <c r="AF1" s="833"/>
      <c r="AG1" s="833"/>
      <c r="AH1" s="833"/>
      <c r="AI1" s="834"/>
    </row>
    <row r="2" spans="1:36" s="223" customFormat="1" ht="46.5" customHeight="1" thickBot="1" x14ac:dyDescent="0.3">
      <c r="A2" s="522"/>
      <c r="B2" s="523"/>
      <c r="C2" s="524"/>
      <c r="D2" s="484" t="s">
        <v>5</v>
      </c>
      <c r="E2" s="505" t="s">
        <v>6</v>
      </c>
      <c r="F2" s="489"/>
      <c r="G2" s="506"/>
      <c r="H2" s="488" t="s">
        <v>7</v>
      </c>
      <c r="I2" s="489"/>
      <c r="J2" s="490"/>
      <c r="K2" s="505" t="s">
        <v>6</v>
      </c>
      <c r="L2" s="489"/>
      <c r="M2" s="506"/>
      <c r="N2" s="488" t="s">
        <v>7</v>
      </c>
      <c r="O2" s="489"/>
      <c r="P2" s="490"/>
      <c r="Q2" s="505" t="s">
        <v>6</v>
      </c>
      <c r="R2" s="489"/>
      <c r="S2" s="506"/>
      <c r="T2" s="488" t="s">
        <v>7</v>
      </c>
      <c r="U2" s="489"/>
      <c r="V2" s="490"/>
      <c r="W2" s="493" t="s">
        <v>5</v>
      </c>
      <c r="X2" s="505" t="s">
        <v>6</v>
      </c>
      <c r="Y2" s="489"/>
      <c r="Z2" s="506"/>
      <c r="AA2" s="488" t="s">
        <v>7</v>
      </c>
      <c r="AB2" s="489"/>
      <c r="AC2" s="489"/>
      <c r="AD2" s="829" t="s">
        <v>313</v>
      </c>
      <c r="AE2" s="830"/>
      <c r="AF2" s="831"/>
      <c r="AG2" s="842" t="s">
        <v>314</v>
      </c>
      <c r="AH2" s="830"/>
      <c r="AI2" s="831"/>
    </row>
    <row r="3" spans="1:36" s="223" customFormat="1" ht="46.5" customHeight="1" thickBot="1" x14ac:dyDescent="0.3">
      <c r="A3" s="226" t="s">
        <v>9</v>
      </c>
      <c r="B3" s="371" t="s">
        <v>10</v>
      </c>
      <c r="C3" s="372" t="s">
        <v>11</v>
      </c>
      <c r="D3" s="507"/>
      <c r="E3" s="226" t="s">
        <v>177</v>
      </c>
      <c r="F3" s="227" t="s">
        <v>178</v>
      </c>
      <c r="G3" s="228" t="s">
        <v>179</v>
      </c>
      <c r="H3" s="226" t="s">
        <v>177</v>
      </c>
      <c r="I3" s="227" t="s">
        <v>178</v>
      </c>
      <c r="J3" s="229" t="s">
        <v>179</v>
      </c>
      <c r="K3" s="226" t="s">
        <v>177</v>
      </c>
      <c r="L3" s="227" t="s">
        <v>178</v>
      </c>
      <c r="M3" s="228" t="s">
        <v>179</v>
      </c>
      <c r="N3" s="226" t="s">
        <v>177</v>
      </c>
      <c r="O3" s="227" t="s">
        <v>178</v>
      </c>
      <c r="P3" s="229" t="s">
        <v>179</v>
      </c>
      <c r="Q3" s="226" t="s">
        <v>177</v>
      </c>
      <c r="R3" s="227" t="s">
        <v>178</v>
      </c>
      <c r="S3" s="228" t="s">
        <v>179</v>
      </c>
      <c r="T3" s="226" t="s">
        <v>177</v>
      </c>
      <c r="U3" s="227" t="s">
        <v>178</v>
      </c>
      <c r="V3" s="228" t="s">
        <v>179</v>
      </c>
      <c r="W3" s="494"/>
      <c r="X3" s="226" t="s">
        <v>177</v>
      </c>
      <c r="Y3" s="227" t="s">
        <v>178</v>
      </c>
      <c r="Z3" s="228" t="s">
        <v>179</v>
      </c>
      <c r="AA3" s="230" t="s">
        <v>177</v>
      </c>
      <c r="AB3" s="231" t="s">
        <v>178</v>
      </c>
      <c r="AC3" s="425" t="s">
        <v>179</v>
      </c>
      <c r="AD3" s="823" t="s">
        <v>177</v>
      </c>
      <c r="AE3" s="823" t="s">
        <v>178</v>
      </c>
      <c r="AF3" s="824" t="s">
        <v>179</v>
      </c>
      <c r="AG3" s="823" t="s">
        <v>177</v>
      </c>
      <c r="AH3" s="823" t="s">
        <v>178</v>
      </c>
      <c r="AI3" s="841" t="s">
        <v>179</v>
      </c>
      <c r="AJ3" s="232"/>
    </row>
    <row r="4" spans="1:36" s="366" customFormat="1" ht="141" customHeight="1" x14ac:dyDescent="0.25">
      <c r="A4" s="513" t="s">
        <v>20</v>
      </c>
      <c r="B4" s="515" t="s">
        <v>21</v>
      </c>
      <c r="C4" s="517" t="s">
        <v>22</v>
      </c>
      <c r="D4" s="511" t="s">
        <v>23</v>
      </c>
      <c r="E4" s="353">
        <v>3500</v>
      </c>
      <c r="F4" s="354">
        <v>12227</v>
      </c>
      <c r="G4" s="355">
        <f>+F4/E4</f>
        <v>3.4934285714285713</v>
      </c>
      <c r="H4" s="354">
        <v>1947</v>
      </c>
      <c r="I4" s="354">
        <v>1860</v>
      </c>
      <c r="J4" s="356">
        <f>+I4/H4</f>
        <v>0.95531587057010781</v>
      </c>
      <c r="K4" s="353">
        <v>8800</v>
      </c>
      <c r="L4" s="357">
        <v>11837</v>
      </c>
      <c r="M4" s="358">
        <f>+L4/K4</f>
        <v>1.3451136363636365</v>
      </c>
      <c r="N4" s="357">
        <v>260.33999999999997</v>
      </c>
      <c r="O4" s="357">
        <v>215.06</v>
      </c>
      <c r="P4" s="359">
        <f>+O4/N4</f>
        <v>0.82607359606668207</v>
      </c>
      <c r="Q4" s="360">
        <v>8800</v>
      </c>
      <c r="R4" s="357">
        <v>20155</v>
      </c>
      <c r="S4" s="358">
        <f>+R4/Q4</f>
        <v>2.2903409090909093</v>
      </c>
      <c r="T4" s="361">
        <v>448.2</v>
      </c>
      <c r="U4" s="361">
        <v>264</v>
      </c>
      <c r="V4" s="359">
        <f>U4/T4</f>
        <v>0.58902275769745649</v>
      </c>
      <c r="W4" s="861" t="s">
        <v>24</v>
      </c>
      <c r="X4" s="362" t="s">
        <v>333</v>
      </c>
      <c r="Y4" s="714">
        <v>14017</v>
      </c>
      <c r="Z4" s="363">
        <v>1.5928</v>
      </c>
      <c r="AA4" s="361">
        <v>688.7</v>
      </c>
      <c r="AB4" s="361">
        <v>36</v>
      </c>
      <c r="AC4" s="364">
        <v>5.2272397270219248E-2</v>
      </c>
      <c r="AD4" s="863">
        <f>3500+(8800*3)</f>
        <v>29900</v>
      </c>
      <c r="AE4" s="864">
        <f>+Y4+R4+L4+F4</f>
        <v>58236</v>
      </c>
      <c r="AF4" s="866">
        <f>+AE4/AD4</f>
        <v>1.9476923076923076</v>
      </c>
      <c r="AG4" s="865">
        <f>+H4+N4+AA4+T4</f>
        <v>3344.24</v>
      </c>
      <c r="AH4" s="865">
        <f>+AB4+U4+O4+I4</f>
        <v>2375.06</v>
      </c>
      <c r="AI4" s="867">
        <f>+AH4/AG4</f>
        <v>0.71019424443221779</v>
      </c>
      <c r="AJ4" s="365"/>
    </row>
    <row r="5" spans="1:36" s="366" customFormat="1" ht="120.75" hidden="1" customHeight="1" thickBot="1" x14ac:dyDescent="0.3">
      <c r="A5" s="514"/>
      <c r="B5" s="516"/>
      <c r="C5" s="518"/>
      <c r="D5" s="512"/>
      <c r="E5" s="367"/>
      <c r="F5" s="368"/>
      <c r="G5" s="344"/>
      <c r="H5" s="368"/>
      <c r="I5" s="368"/>
      <c r="J5" s="369"/>
      <c r="K5" s="367" t="s">
        <v>27</v>
      </c>
      <c r="L5" s="347" t="s">
        <v>28</v>
      </c>
      <c r="M5" s="347" t="s">
        <v>29</v>
      </c>
      <c r="N5" s="347"/>
      <c r="O5" s="347"/>
      <c r="P5" s="346"/>
      <c r="Q5" s="370"/>
      <c r="R5" s="347"/>
      <c r="S5" s="345"/>
      <c r="T5" s="348"/>
      <c r="U5" s="348"/>
      <c r="V5" s="346"/>
      <c r="W5" s="862"/>
      <c r="X5" s="343" t="s">
        <v>30</v>
      </c>
      <c r="Y5" s="347" t="s">
        <v>31</v>
      </c>
      <c r="Z5" s="347" t="s">
        <v>32</v>
      </c>
      <c r="AA5" s="348"/>
      <c r="AB5" s="348"/>
      <c r="AC5" s="349"/>
      <c r="AD5" s="856"/>
      <c r="AE5" s="857"/>
      <c r="AF5" s="859"/>
      <c r="AG5" s="858"/>
      <c r="AH5" s="858"/>
      <c r="AI5" s="860"/>
      <c r="AJ5" s="365"/>
    </row>
  </sheetData>
  <mergeCells count="22">
    <mergeCell ref="A1:C2"/>
    <mergeCell ref="D1:J1"/>
    <mergeCell ref="K1:P1"/>
    <mergeCell ref="Q1:V1"/>
    <mergeCell ref="W1:AC1"/>
    <mergeCell ref="D2:D3"/>
    <mergeCell ref="E2:G2"/>
    <mergeCell ref="H2:J2"/>
    <mergeCell ref="K2:M2"/>
    <mergeCell ref="N2:P2"/>
    <mergeCell ref="Q2:S2"/>
    <mergeCell ref="T2:V2"/>
    <mergeCell ref="W2:W3"/>
    <mergeCell ref="X2:Z2"/>
    <mergeCell ref="AA2:AC2"/>
    <mergeCell ref="AD1:AI1"/>
    <mergeCell ref="AD2:AF2"/>
    <mergeCell ref="AG2:AI2"/>
    <mergeCell ref="A4:A5"/>
    <mergeCell ref="B4:B5"/>
    <mergeCell ref="C4:C5"/>
    <mergeCell ref="D4: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841DD-0C98-4870-965C-8E5387BC2546}">
  <dimension ref="A1:AH9"/>
  <sheetViews>
    <sheetView zoomScale="60" zoomScaleNormal="60" workbookViewId="0">
      <pane ySplit="3" topLeftCell="A4" activePane="bottomLeft" state="frozen"/>
      <selection pane="bottomLeft" sqref="A1:AG9"/>
    </sheetView>
  </sheetViews>
  <sheetFormatPr baseColWidth="10" defaultColWidth="11.42578125" defaultRowHeight="17.25" x14ac:dyDescent="0.25"/>
  <cols>
    <col min="1" max="1" width="13.85546875" style="264" customWidth="1"/>
    <col min="2" max="2" width="16.7109375" style="245" customWidth="1"/>
    <col min="3" max="3" width="57.5703125" style="245" customWidth="1"/>
    <col min="4" max="4" width="8.28515625" style="245" hidden="1" customWidth="1"/>
    <col min="5" max="5" width="7.7109375" style="245" hidden="1" customWidth="1"/>
    <col min="6" max="6" width="7.5703125" style="245" hidden="1" customWidth="1"/>
    <col min="7" max="7" width="8.28515625" style="245" hidden="1" customWidth="1"/>
    <col min="8" max="8" width="8" style="245" hidden="1" customWidth="1"/>
    <col min="9" max="9" width="7.5703125" style="265" hidden="1" customWidth="1"/>
    <col min="10" max="10" width="8.28515625" style="245" hidden="1" customWidth="1"/>
    <col min="11" max="11" width="7.7109375" style="245" hidden="1" customWidth="1"/>
    <col min="12" max="12" width="7.5703125" style="245" hidden="1" customWidth="1"/>
    <col min="13" max="13" width="9.42578125" style="245" hidden="1" customWidth="1"/>
    <col min="14" max="14" width="9" style="245" hidden="1" customWidth="1"/>
    <col min="15" max="15" width="7.5703125" style="265" hidden="1" customWidth="1"/>
    <col min="16" max="16" width="10.5703125" style="245" hidden="1" customWidth="1"/>
    <col min="17" max="17" width="11.140625" style="245" hidden="1" customWidth="1"/>
    <col min="18" max="18" width="9.42578125" style="245" hidden="1" customWidth="1"/>
    <col min="19" max="19" width="9" style="245" hidden="1" customWidth="1"/>
    <col min="20" max="20" width="8.42578125" style="266" hidden="1" customWidth="1"/>
    <col min="21" max="21" width="7.5703125" style="245" hidden="1" customWidth="1"/>
    <col min="22" max="22" width="22.28515625" style="245" hidden="1" customWidth="1"/>
    <col min="23" max="23" width="29.85546875" style="245" hidden="1" customWidth="1"/>
    <col min="24" max="24" width="9.42578125" style="245" hidden="1" customWidth="1"/>
    <col min="25" max="25" width="9.42578125" style="267" hidden="1" customWidth="1"/>
    <col min="26" max="26" width="10.42578125" style="267" hidden="1" customWidth="1"/>
    <col min="27" max="27" width="12.5703125" style="245" hidden="1" customWidth="1"/>
    <col min="28" max="28" width="12.5703125" style="245" customWidth="1"/>
    <col min="29" max="29" width="14.42578125" style="245" bestFit="1" customWidth="1"/>
    <col min="30" max="30" width="13.42578125" style="268" bestFit="1" customWidth="1"/>
    <col min="31" max="32" width="14.7109375" style="268" bestFit="1" customWidth="1"/>
    <col min="33" max="33" width="7.7109375" style="268" bestFit="1" customWidth="1"/>
    <col min="34" max="34" width="10.42578125" style="245" customWidth="1"/>
    <col min="35" max="16384" width="11.42578125" style="245"/>
  </cols>
  <sheetData>
    <row r="1" spans="1:34" s="223" customFormat="1" ht="45.75" customHeight="1" thickBot="1" x14ac:dyDescent="0.3">
      <c r="A1" s="525" t="s">
        <v>190</v>
      </c>
      <c r="B1" s="526"/>
      <c r="C1" s="616"/>
      <c r="D1" s="489"/>
      <c r="E1" s="489"/>
      <c r="F1" s="489"/>
      <c r="G1" s="489"/>
      <c r="H1" s="489"/>
      <c r="I1" s="490"/>
      <c r="J1" s="489">
        <v>2016</v>
      </c>
      <c r="K1" s="489"/>
      <c r="L1" s="489"/>
      <c r="M1" s="489"/>
      <c r="N1" s="489"/>
      <c r="O1" s="490"/>
      <c r="P1" s="509">
        <v>2017</v>
      </c>
      <c r="Q1" s="509"/>
      <c r="R1" s="509"/>
      <c r="S1" s="509"/>
      <c r="T1" s="509"/>
      <c r="U1" s="510"/>
      <c r="V1" s="489">
        <v>2018</v>
      </c>
      <c r="W1" s="489"/>
      <c r="X1" s="489"/>
      <c r="Y1" s="489"/>
      <c r="Z1" s="489"/>
      <c r="AA1" s="489"/>
      <c r="AB1" s="832" t="s">
        <v>318</v>
      </c>
      <c r="AC1" s="833"/>
      <c r="AD1" s="833"/>
      <c r="AE1" s="833"/>
      <c r="AF1" s="833"/>
      <c r="AG1" s="834"/>
    </row>
    <row r="2" spans="1:34" s="223" customFormat="1" ht="45.75" customHeight="1" thickBot="1" x14ac:dyDescent="0.3">
      <c r="A2" s="527"/>
      <c r="B2" s="528"/>
      <c r="C2" s="617"/>
      <c r="D2" s="505" t="s">
        <v>6</v>
      </c>
      <c r="E2" s="489"/>
      <c r="F2" s="506"/>
      <c r="G2" s="488" t="s">
        <v>7</v>
      </c>
      <c r="H2" s="489"/>
      <c r="I2" s="490"/>
      <c r="J2" s="505" t="s">
        <v>6</v>
      </c>
      <c r="K2" s="489"/>
      <c r="L2" s="506"/>
      <c r="M2" s="488" t="s">
        <v>7</v>
      </c>
      <c r="N2" s="489"/>
      <c r="O2" s="490"/>
      <c r="P2" s="505" t="s">
        <v>6</v>
      </c>
      <c r="Q2" s="489"/>
      <c r="R2" s="506"/>
      <c r="S2" s="488" t="s">
        <v>7</v>
      </c>
      <c r="T2" s="489"/>
      <c r="U2" s="490"/>
      <c r="V2" s="505" t="s">
        <v>6</v>
      </c>
      <c r="W2" s="489"/>
      <c r="X2" s="506"/>
      <c r="Y2" s="488" t="s">
        <v>7</v>
      </c>
      <c r="Z2" s="489"/>
      <c r="AA2" s="489"/>
      <c r="AB2" s="825" t="s">
        <v>313</v>
      </c>
      <c r="AC2" s="826"/>
      <c r="AD2" s="827"/>
      <c r="AE2" s="842" t="s">
        <v>314</v>
      </c>
      <c r="AF2" s="830"/>
      <c r="AG2" s="831"/>
    </row>
    <row r="3" spans="1:34" s="223" customFormat="1" ht="45.75" customHeight="1" thickBot="1" x14ac:dyDescent="0.3">
      <c r="A3" s="320" t="s">
        <v>9</v>
      </c>
      <c r="B3" s="371" t="s">
        <v>10</v>
      </c>
      <c r="C3" s="372" t="s">
        <v>11</v>
      </c>
      <c r="D3" s="226" t="s">
        <v>177</v>
      </c>
      <c r="E3" s="227" t="s">
        <v>178</v>
      </c>
      <c r="F3" s="228" t="s">
        <v>179</v>
      </c>
      <c r="G3" s="226" t="s">
        <v>177</v>
      </c>
      <c r="H3" s="227" t="s">
        <v>178</v>
      </c>
      <c r="I3" s="229" t="s">
        <v>179</v>
      </c>
      <c r="J3" s="226" t="s">
        <v>177</v>
      </c>
      <c r="K3" s="227" t="s">
        <v>178</v>
      </c>
      <c r="L3" s="228" t="s">
        <v>179</v>
      </c>
      <c r="M3" s="226" t="s">
        <v>177</v>
      </c>
      <c r="N3" s="227" t="s">
        <v>178</v>
      </c>
      <c r="O3" s="229" t="s">
        <v>179</v>
      </c>
      <c r="P3" s="226" t="s">
        <v>177</v>
      </c>
      <c r="Q3" s="227" t="s">
        <v>178</v>
      </c>
      <c r="R3" s="228" t="s">
        <v>179</v>
      </c>
      <c r="S3" s="226" t="s">
        <v>177</v>
      </c>
      <c r="T3" s="227" t="s">
        <v>178</v>
      </c>
      <c r="U3" s="228" t="s">
        <v>179</v>
      </c>
      <c r="V3" s="226" t="s">
        <v>177</v>
      </c>
      <c r="W3" s="227" t="s">
        <v>178</v>
      </c>
      <c r="X3" s="228" t="s">
        <v>179</v>
      </c>
      <c r="Y3" s="230" t="s">
        <v>177</v>
      </c>
      <c r="Z3" s="231" t="s">
        <v>178</v>
      </c>
      <c r="AA3" s="425" t="s">
        <v>179</v>
      </c>
      <c r="AB3" s="868" t="s">
        <v>177</v>
      </c>
      <c r="AC3" s="823" t="s">
        <v>178</v>
      </c>
      <c r="AD3" s="841" t="s">
        <v>179</v>
      </c>
      <c r="AE3" s="919" t="s">
        <v>177</v>
      </c>
      <c r="AF3" s="823" t="s">
        <v>178</v>
      </c>
      <c r="AG3" s="841" t="s">
        <v>179</v>
      </c>
      <c r="AH3" s="232"/>
    </row>
    <row r="4" spans="1:34" ht="80.25" customHeight="1" x14ac:dyDescent="0.25">
      <c r="A4" s="870" t="s">
        <v>53</v>
      </c>
      <c r="B4" s="871" t="s">
        <v>54</v>
      </c>
      <c r="C4" s="872" t="s">
        <v>55</v>
      </c>
      <c r="D4" s="873">
        <v>3500</v>
      </c>
      <c r="E4" s="874">
        <v>4758</v>
      </c>
      <c r="F4" s="875">
        <f t="shared" ref="F4:F9" si="0">+E4/D4</f>
        <v>1.3594285714285714</v>
      </c>
      <c r="G4" s="874" t="s">
        <v>57</v>
      </c>
      <c r="H4" s="874" t="s">
        <v>57</v>
      </c>
      <c r="I4" s="876" t="s">
        <v>57</v>
      </c>
      <c r="J4" s="877">
        <v>6000</v>
      </c>
      <c r="K4" s="878">
        <v>6280</v>
      </c>
      <c r="L4" s="879">
        <f t="shared" ref="L4:L9" si="1">+K4/J4</f>
        <v>1.0466666666666666</v>
      </c>
      <c r="M4" s="878">
        <v>415.43</v>
      </c>
      <c r="N4" s="878">
        <v>183.28</v>
      </c>
      <c r="O4" s="880">
        <f t="shared" ref="O4:O9" si="2">+N4/M4</f>
        <v>0.44118142647377417</v>
      </c>
      <c r="P4" s="877">
        <v>6000</v>
      </c>
      <c r="Q4" s="878">
        <v>6899</v>
      </c>
      <c r="R4" s="879">
        <f>+Q4/P4</f>
        <v>1.1498333333333333</v>
      </c>
      <c r="S4" s="878">
        <v>160.88999999999999</v>
      </c>
      <c r="T4" s="878">
        <v>116</v>
      </c>
      <c r="U4" s="880">
        <f t="shared" ref="U4:U9" si="3">T4/S4</f>
        <v>0.72098949592889561</v>
      </c>
      <c r="V4" s="877">
        <v>6000</v>
      </c>
      <c r="W4" s="881" t="s">
        <v>185</v>
      </c>
      <c r="X4" s="882">
        <v>0.84</v>
      </c>
      <c r="Y4" s="883">
        <v>27.2</v>
      </c>
      <c r="Z4" s="883">
        <v>3.31</v>
      </c>
      <c r="AA4" s="884">
        <v>0.12169117647058825</v>
      </c>
      <c r="AB4" s="888">
        <f>+D4+J4+P4+V4</f>
        <v>21500</v>
      </c>
      <c r="AC4" s="889">
        <f>+E4+K4+Q4+270</f>
        <v>18207</v>
      </c>
      <c r="AD4" s="891">
        <f t="shared" ref="AD4" si="4">AVERAGE(F4,L4,R4,X4)</f>
        <v>1.0989821428571429</v>
      </c>
      <c r="AE4" s="920">
        <f>++M4+S4+Y4</f>
        <v>603.52</v>
      </c>
      <c r="AF4" s="890">
        <f>+N4+T4+Z4</f>
        <v>302.58999999999997</v>
      </c>
      <c r="AG4" s="891">
        <f>AVERAGE(U4,O4,I4)</f>
        <v>0.58108546120133486</v>
      </c>
      <c r="AH4" s="247"/>
    </row>
    <row r="5" spans="1:34" ht="80.25" customHeight="1" x14ac:dyDescent="0.25">
      <c r="A5" s="870" t="s">
        <v>53</v>
      </c>
      <c r="B5" s="871" t="s">
        <v>54</v>
      </c>
      <c r="C5" s="872" t="s">
        <v>59</v>
      </c>
      <c r="D5" s="873">
        <v>300</v>
      </c>
      <c r="E5" s="874">
        <v>458</v>
      </c>
      <c r="F5" s="875">
        <f t="shared" si="0"/>
        <v>1.5266666666666666</v>
      </c>
      <c r="G5" s="874">
        <v>470</v>
      </c>
      <c r="H5" s="874">
        <v>392.8</v>
      </c>
      <c r="I5" s="876">
        <f>+H5/G5</f>
        <v>0.8357446808510639</v>
      </c>
      <c r="J5" s="877">
        <v>300</v>
      </c>
      <c r="K5" s="878">
        <v>386</v>
      </c>
      <c r="L5" s="879">
        <f t="shared" si="1"/>
        <v>1.2866666666666666</v>
      </c>
      <c r="M5" s="878">
        <v>274.08999999999997</v>
      </c>
      <c r="N5" s="878">
        <v>291.43</v>
      </c>
      <c r="O5" s="880">
        <f t="shared" si="2"/>
        <v>1.0632638914225256</v>
      </c>
      <c r="P5" s="877">
        <v>300</v>
      </c>
      <c r="Q5" s="878">
        <v>377</v>
      </c>
      <c r="R5" s="879">
        <f>+Q5/P5</f>
        <v>1.2566666666666666</v>
      </c>
      <c r="S5" s="878">
        <v>452.3</v>
      </c>
      <c r="T5" s="878">
        <v>417</v>
      </c>
      <c r="U5" s="880">
        <f t="shared" si="3"/>
        <v>0.92195445500773821</v>
      </c>
      <c r="V5" s="877">
        <v>300</v>
      </c>
      <c r="W5" s="881" t="s">
        <v>334</v>
      </c>
      <c r="X5" s="882">
        <v>0.9</v>
      </c>
      <c r="Y5" s="883">
        <v>303.33999999999997</v>
      </c>
      <c r="Z5" s="883">
        <v>92.23</v>
      </c>
      <c r="AA5" s="884">
        <v>0.30404826267554563</v>
      </c>
      <c r="AB5" s="888">
        <f>+D5+J5+P5+V5</f>
        <v>1200</v>
      </c>
      <c r="AC5" s="889">
        <f>+E5+K5+Q5+270</f>
        <v>1491</v>
      </c>
      <c r="AD5" s="891">
        <f t="shared" ref="AD5:AD8" si="5">+AC5/AB5</f>
        <v>1.2424999999999999</v>
      </c>
      <c r="AE5" s="920">
        <f>+G5+M5+S5+Y5</f>
        <v>1499.7299999999998</v>
      </c>
      <c r="AF5" s="890">
        <f>+H5+N5+T5+Z5</f>
        <v>1193.46</v>
      </c>
      <c r="AG5" s="891">
        <f>+AF5/AE5</f>
        <v>0.79578324098337716</v>
      </c>
      <c r="AH5" s="247"/>
    </row>
    <row r="6" spans="1:34" ht="45.75" customHeight="1" x14ac:dyDescent="0.25">
      <c r="A6" s="870" t="s">
        <v>53</v>
      </c>
      <c r="B6" s="871" t="s">
        <v>54</v>
      </c>
      <c r="C6" s="885" t="s">
        <v>62</v>
      </c>
      <c r="D6" s="886">
        <v>30</v>
      </c>
      <c r="E6" s="887">
        <v>18</v>
      </c>
      <c r="F6" s="875">
        <f t="shared" si="0"/>
        <v>0.6</v>
      </c>
      <c r="G6" s="887" t="s">
        <v>57</v>
      </c>
      <c r="H6" s="887" t="s">
        <v>57</v>
      </c>
      <c r="I6" s="876" t="s">
        <v>57</v>
      </c>
      <c r="J6" s="877">
        <v>40</v>
      </c>
      <c r="K6" s="878">
        <v>51</v>
      </c>
      <c r="L6" s="879">
        <f t="shared" si="1"/>
        <v>1.2749999999999999</v>
      </c>
      <c r="M6" s="878">
        <v>11.45</v>
      </c>
      <c r="N6" s="878">
        <v>6.89</v>
      </c>
      <c r="O6" s="880">
        <f t="shared" si="2"/>
        <v>0.6017467248908297</v>
      </c>
      <c r="P6" s="877">
        <v>50</v>
      </c>
      <c r="Q6" s="878">
        <v>162</v>
      </c>
      <c r="R6" s="879">
        <f>+Q6/P6</f>
        <v>3.24</v>
      </c>
      <c r="S6" s="878">
        <v>13.7</v>
      </c>
      <c r="T6" s="878">
        <v>7.8</v>
      </c>
      <c r="U6" s="880">
        <f t="shared" si="3"/>
        <v>0.56934306569343063</v>
      </c>
      <c r="V6" s="877">
        <v>60</v>
      </c>
      <c r="W6" s="878">
        <v>262</v>
      </c>
      <c r="X6" s="882">
        <v>4.37</v>
      </c>
      <c r="Y6" s="883">
        <v>14</v>
      </c>
      <c r="Z6" s="883">
        <v>2.85</v>
      </c>
      <c r="AA6" s="884">
        <v>0.20357142857142857</v>
      </c>
      <c r="AB6" s="888">
        <f t="shared" ref="AB6:AB8" si="6">+D6+J6+P6+V6</f>
        <v>180</v>
      </c>
      <c r="AC6" s="889">
        <f>+E6+K6+Q6+W6</f>
        <v>493</v>
      </c>
      <c r="AD6" s="891">
        <f t="shared" si="5"/>
        <v>2.7388888888888889</v>
      </c>
      <c r="AE6" s="920">
        <f>+M6+S6+Y6</f>
        <v>39.15</v>
      </c>
      <c r="AF6" s="890">
        <f>+N6+T6+Z6</f>
        <v>17.54</v>
      </c>
      <c r="AG6" s="891">
        <f t="shared" ref="AG6:AG7" si="7">+AF6/AE6</f>
        <v>0.44802043422733079</v>
      </c>
      <c r="AH6" s="247"/>
    </row>
    <row r="7" spans="1:34" ht="47.25" customHeight="1" x14ac:dyDescent="0.25">
      <c r="A7" s="870" t="s">
        <v>53</v>
      </c>
      <c r="B7" s="892" t="s">
        <v>54</v>
      </c>
      <c r="C7" s="893" t="s">
        <v>65</v>
      </c>
      <c r="D7" s="886">
        <v>250</v>
      </c>
      <c r="E7" s="887">
        <v>266</v>
      </c>
      <c r="F7" s="875">
        <f t="shared" si="0"/>
        <v>1.0640000000000001</v>
      </c>
      <c r="G7" s="887" t="s">
        <v>57</v>
      </c>
      <c r="H7" s="887" t="s">
        <v>67</v>
      </c>
      <c r="I7" s="876" t="s">
        <v>57</v>
      </c>
      <c r="J7" s="877">
        <v>250</v>
      </c>
      <c r="K7" s="878">
        <v>0</v>
      </c>
      <c r="L7" s="879">
        <f t="shared" si="1"/>
        <v>0</v>
      </c>
      <c r="M7" s="878">
        <v>30</v>
      </c>
      <c r="N7" s="878">
        <v>0</v>
      </c>
      <c r="O7" s="880">
        <f t="shared" si="2"/>
        <v>0</v>
      </c>
      <c r="P7" s="877">
        <v>250</v>
      </c>
      <c r="Q7" s="878">
        <v>330</v>
      </c>
      <c r="R7" s="879">
        <f>+Q7/P7</f>
        <v>1.32</v>
      </c>
      <c r="S7" s="878">
        <v>99.35</v>
      </c>
      <c r="T7" s="878">
        <v>29.35</v>
      </c>
      <c r="U7" s="880">
        <f t="shared" si="3"/>
        <v>0.29542023150478108</v>
      </c>
      <c r="V7" s="877">
        <v>250</v>
      </c>
      <c r="W7" s="874" t="s">
        <v>335</v>
      </c>
      <c r="X7" s="894">
        <f>887/250</f>
        <v>3.548</v>
      </c>
      <c r="Y7" s="883" t="s">
        <v>57</v>
      </c>
      <c r="Z7" s="883" t="s">
        <v>57</v>
      </c>
      <c r="AA7" s="895"/>
      <c r="AB7" s="888">
        <f t="shared" si="6"/>
        <v>1000</v>
      </c>
      <c r="AC7" s="889">
        <f>+E7+K7+Q7+887</f>
        <v>1483</v>
      </c>
      <c r="AD7" s="891">
        <f t="shared" si="5"/>
        <v>1.4830000000000001</v>
      </c>
      <c r="AE7" s="920">
        <f>S7</f>
        <v>99.35</v>
      </c>
      <c r="AF7" s="890">
        <f>T7</f>
        <v>29.35</v>
      </c>
      <c r="AG7" s="891">
        <f t="shared" si="7"/>
        <v>0.29542023150478108</v>
      </c>
      <c r="AH7" s="247"/>
    </row>
    <row r="8" spans="1:34" ht="39" customHeight="1" x14ac:dyDescent="0.25">
      <c r="A8" s="870"/>
      <c r="B8" s="896"/>
      <c r="C8" s="897"/>
      <c r="D8" s="886">
        <v>20</v>
      </c>
      <c r="E8" s="887" t="s">
        <v>57</v>
      </c>
      <c r="F8" s="875">
        <v>0</v>
      </c>
      <c r="G8" s="887" t="s">
        <v>57</v>
      </c>
      <c r="H8" s="887" t="s">
        <v>57</v>
      </c>
      <c r="I8" s="876">
        <v>0</v>
      </c>
      <c r="J8" s="877">
        <v>20</v>
      </c>
      <c r="K8" s="878" t="s">
        <v>57</v>
      </c>
      <c r="L8" s="879">
        <v>0</v>
      </c>
      <c r="M8" s="878" t="s">
        <v>57</v>
      </c>
      <c r="N8" s="878" t="s">
        <v>57</v>
      </c>
      <c r="O8" s="880">
        <v>0</v>
      </c>
      <c r="P8" s="877">
        <v>20</v>
      </c>
      <c r="Q8" s="878" t="s">
        <v>75</v>
      </c>
      <c r="R8" s="879">
        <v>0.35</v>
      </c>
      <c r="S8" s="878" t="s">
        <v>57</v>
      </c>
      <c r="T8" s="878" t="s">
        <v>57</v>
      </c>
      <c r="U8" s="880" t="s">
        <v>57</v>
      </c>
      <c r="V8" s="877">
        <v>20</v>
      </c>
      <c r="W8" s="878" t="s">
        <v>77</v>
      </c>
      <c r="X8" s="894">
        <v>0.3</v>
      </c>
      <c r="Y8" s="883" t="s">
        <v>57</v>
      </c>
      <c r="Z8" s="883" t="s">
        <v>57</v>
      </c>
      <c r="AA8" s="895" t="s">
        <v>57</v>
      </c>
      <c r="AB8" s="888">
        <f t="shared" si="6"/>
        <v>80</v>
      </c>
      <c r="AC8" s="889">
        <v>13</v>
      </c>
      <c r="AD8" s="891">
        <f t="shared" si="5"/>
        <v>0.16250000000000001</v>
      </c>
      <c r="AE8" s="920" t="s">
        <v>57</v>
      </c>
      <c r="AF8" s="890" t="s">
        <v>57</v>
      </c>
      <c r="AG8" s="898"/>
      <c r="AH8" s="247"/>
    </row>
    <row r="9" spans="1:34" ht="73.5" customHeight="1" thickBot="1" x14ac:dyDescent="0.3">
      <c r="A9" s="899" t="s">
        <v>53</v>
      </c>
      <c r="B9" s="900" t="s">
        <v>90</v>
      </c>
      <c r="C9" s="901" t="s">
        <v>91</v>
      </c>
      <c r="D9" s="902">
        <v>10</v>
      </c>
      <c r="E9" s="903">
        <v>10</v>
      </c>
      <c r="F9" s="904">
        <f t="shared" si="0"/>
        <v>1</v>
      </c>
      <c r="G9" s="903"/>
      <c r="H9" s="903"/>
      <c r="I9" s="905">
        <v>0</v>
      </c>
      <c r="J9" s="906">
        <v>7</v>
      </c>
      <c r="K9" s="907">
        <v>5</v>
      </c>
      <c r="L9" s="908">
        <f t="shared" si="1"/>
        <v>0.7142857142857143</v>
      </c>
      <c r="M9" s="907">
        <v>4.9000000000000004</v>
      </c>
      <c r="N9" s="907">
        <v>4.5</v>
      </c>
      <c r="O9" s="909">
        <f t="shared" si="2"/>
        <v>0.91836734693877542</v>
      </c>
      <c r="P9" s="910" t="s">
        <v>94</v>
      </c>
      <c r="Q9" s="907">
        <v>15</v>
      </c>
      <c r="R9" s="911">
        <v>0.625</v>
      </c>
      <c r="S9" s="907">
        <v>2.2999999999999998</v>
      </c>
      <c r="T9" s="907">
        <v>1.3</v>
      </c>
      <c r="U9" s="909">
        <f t="shared" si="3"/>
        <v>0.56521739130434789</v>
      </c>
      <c r="V9" s="910" t="s">
        <v>95</v>
      </c>
      <c r="W9" s="907">
        <v>17</v>
      </c>
      <c r="X9" s="912">
        <v>0.55000000000000004</v>
      </c>
      <c r="Y9" s="913">
        <v>3.1</v>
      </c>
      <c r="Z9" s="913">
        <v>0.16875000000000001</v>
      </c>
      <c r="AA9" s="914">
        <v>5.4435483870967742E-2</v>
      </c>
      <c r="AB9" s="915">
        <v>31</v>
      </c>
      <c r="AC9" s="916">
        <v>17</v>
      </c>
      <c r="AD9" s="918">
        <f>+AC9/AB9</f>
        <v>0.54838709677419351</v>
      </c>
      <c r="AE9" s="921">
        <f t="shared" ref="AE9" si="8">+G9+M9+S9+Y9</f>
        <v>10.3</v>
      </c>
      <c r="AF9" s="917">
        <f t="shared" ref="AF9" si="9">+H9+N9+T9+Z9</f>
        <v>5.96875</v>
      </c>
      <c r="AG9" s="918">
        <f>+AF9/AE9</f>
        <v>0.57949029126213591</v>
      </c>
      <c r="AH9" s="247"/>
    </row>
  </sheetData>
  <mergeCells count="18">
    <mergeCell ref="AB2:AD2"/>
    <mergeCell ref="AE2:AG2"/>
    <mergeCell ref="D1:I1"/>
    <mergeCell ref="J1:O1"/>
    <mergeCell ref="P1:U1"/>
    <mergeCell ref="V1:AA1"/>
    <mergeCell ref="AB1:AG1"/>
    <mergeCell ref="B7:B8"/>
    <mergeCell ref="C7:C8"/>
    <mergeCell ref="D2:F2"/>
    <mergeCell ref="G2:I2"/>
    <mergeCell ref="J2:L2"/>
    <mergeCell ref="M2:O2"/>
    <mergeCell ref="P2:R2"/>
    <mergeCell ref="S2:U2"/>
    <mergeCell ref="V2:X2"/>
    <mergeCell ref="Y2:AA2"/>
    <mergeCell ref="A1:C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AK35"/>
  <sheetViews>
    <sheetView topLeftCell="A7" zoomScale="70" zoomScaleNormal="70" zoomScaleSheetLayoutView="100" workbookViewId="0">
      <pane xSplit="4" ySplit="3" topLeftCell="P26" activePane="bottomRight" state="frozen"/>
      <selection sqref="A1:XFD1048576"/>
      <selection pane="topRight" sqref="A1:XFD1048576"/>
      <selection pane="bottomLeft" sqref="A1:XFD1048576"/>
      <selection pane="bottomRight" activeCell="AA27" sqref="AA27:AF27"/>
    </sheetView>
  </sheetViews>
  <sheetFormatPr baseColWidth="10" defaultColWidth="11.42578125" defaultRowHeight="15.75" x14ac:dyDescent="0.25"/>
  <cols>
    <col min="1" max="1" width="11.42578125" style="47"/>
    <col min="2" max="3" width="12.28515625" style="1" customWidth="1"/>
    <col min="4" max="4" width="29.7109375" style="1" customWidth="1"/>
    <col min="5" max="5" width="18.7109375" style="42" customWidth="1"/>
    <col min="6" max="7" width="10.85546875" style="1" customWidth="1"/>
    <col min="8" max="8" width="14.42578125" style="1" customWidth="1"/>
    <col min="9" max="10" width="10.85546875" style="1" customWidth="1"/>
    <col min="11" max="11" width="10.85546875" style="48" customWidth="1"/>
    <col min="12" max="12" width="18.7109375" style="42" customWidth="1"/>
    <col min="13" max="13" width="19.28515625" style="1" customWidth="1"/>
    <col min="14" max="17" width="10.85546875" style="1" customWidth="1"/>
    <col min="18" max="18" width="10.85546875" style="48" customWidth="1"/>
    <col min="19" max="19" width="16.42578125" style="42" customWidth="1"/>
    <col min="20" max="20" width="10.85546875" style="1" customWidth="1"/>
    <col min="21" max="21" width="16" style="1" customWidth="1"/>
    <col min="22" max="23" width="10.85546875" style="1" customWidth="1"/>
    <col min="24" max="24" width="10.85546875" style="49" customWidth="1"/>
    <col min="25" max="25" width="12.28515625" style="1" bestFit="1" customWidth="1"/>
    <col min="26" max="26" width="16.42578125" style="42" customWidth="1"/>
    <col min="27" max="27" width="18.7109375" style="1" customWidth="1"/>
    <col min="28" max="28" width="26" style="1" customWidth="1"/>
    <col min="29" max="29" width="16.140625" style="1" customWidth="1"/>
    <col min="30" max="32" width="12.28515625" style="1" customWidth="1"/>
    <col min="33" max="34" width="12.28515625" style="3" customWidth="1"/>
    <col min="35" max="35" width="10.42578125" style="1" customWidth="1"/>
    <col min="36" max="16384" width="11.42578125" style="1"/>
  </cols>
  <sheetData>
    <row r="1" spans="1:37" x14ac:dyDescent="0.25">
      <c r="B1" s="473" t="s">
        <v>0</v>
      </c>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row>
    <row r="2" spans="1:37" x14ac:dyDescent="0.25">
      <c r="B2" s="474" t="s">
        <v>1</v>
      </c>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row>
    <row r="3" spans="1:37" ht="15" customHeight="1" x14ac:dyDescent="0.25">
      <c r="A3" s="475"/>
      <c r="B3" s="475" t="s">
        <v>2</v>
      </c>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row>
    <row r="4" spans="1:37" ht="15.75" customHeight="1" x14ac:dyDescent="0.25">
      <c r="A4" s="475" t="s">
        <v>3</v>
      </c>
      <c r="B4" s="475"/>
      <c r="C4" s="475"/>
      <c r="D4" s="475"/>
      <c r="E4" s="475"/>
      <c r="F4" s="475"/>
      <c r="G4" s="475"/>
      <c r="H4" s="475"/>
      <c r="I4" s="475"/>
      <c r="J4" s="475"/>
      <c r="K4" s="475"/>
      <c r="L4" s="475"/>
      <c r="M4" s="475"/>
      <c r="N4" s="475"/>
      <c r="O4" s="475"/>
      <c r="P4" s="475"/>
      <c r="Q4" s="475"/>
      <c r="R4" s="475"/>
      <c r="S4" s="475"/>
      <c r="T4" s="475"/>
      <c r="U4" s="475"/>
      <c r="V4" s="475"/>
      <c r="W4" s="475"/>
      <c r="X4" s="475"/>
      <c r="Y4" s="475"/>
      <c r="Z4" s="475"/>
      <c r="AA4" s="475"/>
      <c r="AB4" s="475"/>
      <c r="AC4" s="475"/>
      <c r="AD4" s="475"/>
      <c r="AE4" s="475"/>
      <c r="AF4" s="475"/>
      <c r="AG4" s="475"/>
      <c r="AH4" s="475"/>
    </row>
    <row r="5" spans="1:37" x14ac:dyDescent="0.25">
      <c r="B5" s="168"/>
      <c r="C5" s="200"/>
      <c r="D5" s="168"/>
      <c r="E5" s="168"/>
      <c r="F5" s="168"/>
      <c r="G5" s="168"/>
      <c r="H5" s="168">
        <f>G12+N12+U12+G14+N14+U14+G15+N15+U15+G23+N23+U23+G24+N24+U24</f>
        <v>38269</v>
      </c>
      <c r="I5" s="168"/>
      <c r="J5" s="168"/>
      <c r="K5" s="44"/>
      <c r="L5" s="168"/>
      <c r="M5" s="168"/>
      <c r="N5" s="168"/>
      <c r="O5" s="168"/>
      <c r="P5" s="168"/>
      <c r="Q5" s="168"/>
      <c r="R5" s="44"/>
      <c r="S5" s="168"/>
      <c r="T5" s="168"/>
      <c r="U5" s="168"/>
      <c r="V5" s="168"/>
      <c r="W5" s="168"/>
      <c r="X5" s="168"/>
      <c r="Y5" s="168"/>
      <c r="Z5" s="168"/>
      <c r="AA5" s="168"/>
      <c r="AB5" s="168"/>
      <c r="AC5" s="168"/>
      <c r="AD5" s="168"/>
      <c r="AE5" s="168"/>
      <c r="AF5" s="168"/>
      <c r="AG5" s="168"/>
      <c r="AH5" s="168"/>
    </row>
    <row r="6" spans="1:37" ht="16.5" thickBot="1" x14ac:dyDescent="0.3"/>
    <row r="7" spans="1:37" s="47" customFormat="1" ht="16.5" thickBot="1" x14ac:dyDescent="0.3">
      <c r="E7" s="556">
        <v>2015</v>
      </c>
      <c r="F7" s="556"/>
      <c r="G7" s="556"/>
      <c r="H7" s="556"/>
      <c r="I7" s="556"/>
      <c r="J7" s="556"/>
      <c r="K7" s="557"/>
      <c r="L7" s="551">
        <v>2016</v>
      </c>
      <c r="M7" s="552"/>
      <c r="N7" s="552"/>
      <c r="O7" s="552"/>
      <c r="P7" s="552"/>
      <c r="Q7" s="552"/>
      <c r="R7" s="553"/>
      <c r="S7" s="554">
        <v>2017</v>
      </c>
      <c r="T7" s="550"/>
      <c r="U7" s="550"/>
      <c r="V7" s="550"/>
      <c r="W7" s="550"/>
      <c r="X7" s="550"/>
      <c r="Y7" s="555"/>
      <c r="Z7" s="551">
        <v>2018</v>
      </c>
      <c r="AA7" s="552"/>
      <c r="AB7" s="552"/>
      <c r="AC7" s="552"/>
      <c r="AD7" s="552"/>
      <c r="AE7" s="552"/>
      <c r="AF7" s="553"/>
      <c r="AG7" s="550" t="s">
        <v>4</v>
      </c>
      <c r="AH7" s="550"/>
    </row>
    <row r="8" spans="1:37" s="47" customFormat="1" ht="15.75" customHeight="1" thickBot="1" x14ac:dyDescent="0.3">
      <c r="A8" s="124"/>
      <c r="B8" s="124"/>
      <c r="C8" s="124"/>
      <c r="D8" s="124"/>
      <c r="E8" s="548" t="s">
        <v>5</v>
      </c>
      <c r="F8" s="544" t="s">
        <v>6</v>
      </c>
      <c r="G8" s="545"/>
      <c r="H8" s="545"/>
      <c r="I8" s="545" t="s">
        <v>7</v>
      </c>
      <c r="J8" s="546"/>
      <c r="K8" s="125"/>
      <c r="L8" s="548" t="s">
        <v>5</v>
      </c>
      <c r="M8" s="541" t="s">
        <v>6</v>
      </c>
      <c r="N8" s="542"/>
      <c r="O8" s="543"/>
      <c r="P8" s="547" t="s">
        <v>7</v>
      </c>
      <c r="Q8" s="529"/>
      <c r="R8" s="530"/>
      <c r="S8" s="548" t="s">
        <v>5</v>
      </c>
      <c r="T8" s="535" t="s">
        <v>6</v>
      </c>
      <c r="U8" s="536"/>
      <c r="V8" s="537"/>
      <c r="W8" s="538" t="s">
        <v>7</v>
      </c>
      <c r="X8" s="539"/>
      <c r="Y8" s="540"/>
      <c r="Z8" s="548" t="s">
        <v>5</v>
      </c>
      <c r="AA8" s="535" t="s">
        <v>6</v>
      </c>
      <c r="AB8" s="536"/>
      <c r="AC8" s="537"/>
      <c r="AD8" s="538" t="s">
        <v>7</v>
      </c>
      <c r="AE8" s="539"/>
      <c r="AF8" s="540"/>
      <c r="AG8" s="529" t="s">
        <v>8</v>
      </c>
      <c r="AH8" s="530"/>
    </row>
    <row r="9" spans="1:37" s="47" customFormat="1" ht="30" customHeight="1" thickBot="1" x14ac:dyDescent="0.3">
      <c r="A9" s="126" t="s">
        <v>9</v>
      </c>
      <c r="B9" s="127" t="s">
        <v>10</v>
      </c>
      <c r="C9" s="454"/>
      <c r="D9" s="128" t="s">
        <v>11</v>
      </c>
      <c r="E9" s="549"/>
      <c r="F9" s="126" t="s">
        <v>12</v>
      </c>
      <c r="G9" s="129" t="s">
        <v>13</v>
      </c>
      <c r="H9" s="130" t="s">
        <v>14</v>
      </c>
      <c r="I9" s="129" t="s">
        <v>15</v>
      </c>
      <c r="J9" s="128" t="s">
        <v>16</v>
      </c>
      <c r="K9" s="131" t="s">
        <v>17</v>
      </c>
      <c r="L9" s="549"/>
      <c r="M9" s="126" t="s">
        <v>12</v>
      </c>
      <c r="N9" s="129" t="s">
        <v>13</v>
      </c>
      <c r="O9" s="128" t="s">
        <v>14</v>
      </c>
      <c r="P9" s="126" t="s">
        <v>15</v>
      </c>
      <c r="Q9" s="132" t="s">
        <v>16</v>
      </c>
      <c r="R9" s="131" t="s">
        <v>17</v>
      </c>
      <c r="S9" s="549"/>
      <c r="T9" s="126" t="s">
        <v>12</v>
      </c>
      <c r="U9" s="129" t="s">
        <v>13</v>
      </c>
      <c r="V9" s="128" t="s">
        <v>14</v>
      </c>
      <c r="W9" s="133" t="s">
        <v>15</v>
      </c>
      <c r="X9" s="129" t="s">
        <v>16</v>
      </c>
      <c r="Y9" s="162" t="s">
        <v>17</v>
      </c>
      <c r="Z9" s="549"/>
      <c r="AA9" s="126" t="s">
        <v>12</v>
      </c>
      <c r="AB9" s="129" t="s">
        <v>13</v>
      </c>
      <c r="AC9" s="128" t="s">
        <v>14</v>
      </c>
      <c r="AD9" s="133" t="s">
        <v>15</v>
      </c>
      <c r="AE9" s="129" t="s">
        <v>16</v>
      </c>
      <c r="AF9" s="162" t="s">
        <v>17</v>
      </c>
      <c r="AG9" s="166" t="s">
        <v>18</v>
      </c>
      <c r="AH9" s="167" t="s">
        <v>19</v>
      </c>
      <c r="AI9" s="50"/>
    </row>
    <row r="10" spans="1:37" ht="23.25" customHeight="1" x14ac:dyDescent="0.25">
      <c r="A10" s="531" t="s">
        <v>20</v>
      </c>
      <c r="B10" s="534" t="s">
        <v>21</v>
      </c>
      <c r="C10" s="221">
        <v>5</v>
      </c>
      <c r="D10" s="533" t="s">
        <v>22</v>
      </c>
      <c r="E10" s="561" t="s">
        <v>23</v>
      </c>
      <c r="F10" s="51">
        <v>3500</v>
      </c>
      <c r="G10" s="52">
        <v>12227</v>
      </c>
      <c r="H10" s="53">
        <f>+G10/F10</f>
        <v>3.4934285714285713</v>
      </c>
      <c r="I10" s="52">
        <v>1947</v>
      </c>
      <c r="J10" s="52">
        <v>1860</v>
      </c>
      <c r="K10" s="54">
        <f>+J10/I10</f>
        <v>0.95531587057010781</v>
      </c>
      <c r="L10" s="561" t="s">
        <v>23</v>
      </c>
      <c r="M10" s="51">
        <v>8800</v>
      </c>
      <c r="N10" s="55">
        <v>11837</v>
      </c>
      <c r="O10" s="56">
        <f>+N10/M10</f>
        <v>1.3451136363636365</v>
      </c>
      <c r="P10" s="55">
        <v>260.33999999999997</v>
      </c>
      <c r="Q10" s="55">
        <v>215.06</v>
      </c>
      <c r="R10" s="57">
        <f>+Q10/P10</f>
        <v>0.82607359606668207</v>
      </c>
      <c r="S10" s="561" t="s">
        <v>24</v>
      </c>
      <c r="T10" s="58">
        <v>8800</v>
      </c>
      <c r="U10" s="55">
        <v>20155</v>
      </c>
      <c r="V10" s="56">
        <f>+U10/T10</f>
        <v>2.2903409090909093</v>
      </c>
      <c r="W10" s="59">
        <v>448.2</v>
      </c>
      <c r="X10" s="59">
        <v>264</v>
      </c>
      <c r="Y10" s="57">
        <f>X10/W10</f>
        <v>0.58902275769745649</v>
      </c>
      <c r="Z10" s="561" t="s">
        <v>24</v>
      </c>
      <c r="AA10" s="60" t="s">
        <v>25</v>
      </c>
      <c r="AB10" s="61" t="s">
        <v>26</v>
      </c>
      <c r="AC10" s="62">
        <v>1.5928</v>
      </c>
      <c r="AD10" s="63">
        <v>688.7</v>
      </c>
      <c r="AE10" s="63">
        <v>36</v>
      </c>
      <c r="AF10" s="64">
        <v>5.2272397270219248E-2</v>
      </c>
      <c r="AG10" s="560">
        <f>AVERAGE(H10,O10,V10,AC10)</f>
        <v>2.1804207792207793</v>
      </c>
      <c r="AH10" s="558">
        <f>AVERAGE(Y10,R10,K10)</f>
        <v>0.79013740811141542</v>
      </c>
      <c r="AI10" s="65"/>
    </row>
    <row r="11" spans="1:37" ht="93" customHeight="1" thickBot="1" x14ac:dyDescent="0.3">
      <c r="A11" s="532"/>
      <c r="B11" s="534"/>
      <c r="C11" s="221">
        <v>5</v>
      </c>
      <c r="D11" s="533"/>
      <c r="E11" s="562"/>
      <c r="F11" s="51"/>
      <c r="G11" s="52"/>
      <c r="H11" s="53"/>
      <c r="I11" s="52"/>
      <c r="J11" s="52"/>
      <c r="K11" s="54"/>
      <c r="L11" s="562"/>
      <c r="M11" s="51" t="s">
        <v>27</v>
      </c>
      <c r="N11" s="55" t="s">
        <v>28</v>
      </c>
      <c r="O11" s="55" t="s">
        <v>29</v>
      </c>
      <c r="P11" s="55"/>
      <c r="Q11" s="55"/>
      <c r="R11" s="57"/>
      <c r="S11" s="562"/>
      <c r="T11" s="58"/>
      <c r="U11" s="55"/>
      <c r="V11" s="56"/>
      <c r="W11" s="59"/>
      <c r="X11" s="59"/>
      <c r="Y11" s="57"/>
      <c r="Z11" s="562"/>
      <c r="AA11" s="66" t="s">
        <v>30</v>
      </c>
      <c r="AB11" s="55" t="s">
        <v>31</v>
      </c>
      <c r="AC11" s="55" t="s">
        <v>32</v>
      </c>
      <c r="AD11" s="63"/>
      <c r="AE11" s="63"/>
      <c r="AF11" s="64"/>
      <c r="AG11" s="560"/>
      <c r="AH11" s="558"/>
      <c r="AI11" s="65"/>
    </row>
    <row r="12" spans="1:37" ht="135.75" x14ac:dyDescent="0.25">
      <c r="A12" s="67" t="s">
        <v>20</v>
      </c>
      <c r="B12" s="165" t="s">
        <v>33</v>
      </c>
      <c r="C12" s="221">
        <v>1</v>
      </c>
      <c r="D12" s="68" t="s">
        <v>34</v>
      </c>
      <c r="E12" s="69" t="s">
        <v>35</v>
      </c>
      <c r="F12" s="66">
        <v>600</v>
      </c>
      <c r="G12" s="70">
        <v>1380</v>
      </c>
      <c r="H12" s="53">
        <f t="shared" ref="H12:H31" si="0">+G12/F12</f>
        <v>2.2999999999999998</v>
      </c>
      <c r="I12" s="70">
        <v>495.5</v>
      </c>
      <c r="J12" s="70">
        <v>491</v>
      </c>
      <c r="K12" s="71">
        <f>+J12/I12</f>
        <v>0.99091826437941477</v>
      </c>
      <c r="L12" s="69" t="s">
        <v>35</v>
      </c>
      <c r="M12" s="72">
        <v>1000</v>
      </c>
      <c r="N12" s="55">
        <v>3232</v>
      </c>
      <c r="O12" s="56">
        <f>+N12/M12</f>
        <v>3.2320000000000002</v>
      </c>
      <c r="P12" s="55">
        <v>322.98</v>
      </c>
      <c r="Q12" s="55">
        <v>234.95</v>
      </c>
      <c r="R12" s="57">
        <f t="shared" ref="R12:R31" si="1">+Q12/P12</f>
        <v>0.72744442380333141</v>
      </c>
      <c r="S12" s="73"/>
      <c r="T12" s="58">
        <v>1000</v>
      </c>
      <c r="U12" s="55">
        <v>3028</v>
      </c>
      <c r="V12" s="56">
        <f t="shared" ref="V12:V30" si="2">+U12/T12</f>
        <v>3.028</v>
      </c>
      <c r="W12" s="52">
        <v>147.5</v>
      </c>
      <c r="X12" s="74">
        <v>86.17</v>
      </c>
      <c r="Y12" s="57">
        <f t="shared" ref="Y12:Y31" si="3">X12/W12</f>
        <v>0.58420338983050846</v>
      </c>
      <c r="Z12" s="73"/>
      <c r="AA12" s="58" t="s">
        <v>36</v>
      </c>
      <c r="AB12" s="55" t="s">
        <v>37</v>
      </c>
      <c r="AC12" s="75">
        <v>2.4300000000000002</v>
      </c>
      <c r="AD12" s="63">
        <v>253</v>
      </c>
      <c r="AE12" s="63">
        <v>8.06</v>
      </c>
      <c r="AF12" s="64">
        <v>3.1857707509881428E-2</v>
      </c>
      <c r="AG12" s="163">
        <f t="shared" ref="AG12:AG20" si="4">AVERAGE(H12,O12,V12,AC12)</f>
        <v>2.7475000000000001</v>
      </c>
      <c r="AH12" s="163">
        <f t="shared" ref="AH12:AH31" si="5">AVERAGE(Y12,R12,K12)</f>
        <v>0.76752202600441821</v>
      </c>
      <c r="AI12" s="65"/>
    </row>
    <row r="13" spans="1:37" ht="105" x14ac:dyDescent="0.25">
      <c r="A13" s="67" t="s">
        <v>20</v>
      </c>
      <c r="B13" s="165" t="s">
        <v>33</v>
      </c>
      <c r="C13" s="221">
        <v>1</v>
      </c>
      <c r="D13" s="68" t="s">
        <v>38</v>
      </c>
      <c r="E13" s="73"/>
      <c r="F13" s="66">
        <v>2000</v>
      </c>
      <c r="G13" s="70">
        <v>3637</v>
      </c>
      <c r="H13" s="53">
        <f t="shared" si="0"/>
        <v>1.8185</v>
      </c>
      <c r="I13" s="70">
        <v>337.3</v>
      </c>
      <c r="J13" s="70">
        <v>310.42</v>
      </c>
      <c r="K13" s="71">
        <f t="shared" ref="K13:K31" si="6">+J13/I13</f>
        <v>0.92030833086273345</v>
      </c>
      <c r="L13" s="69" t="s">
        <v>39</v>
      </c>
      <c r="M13" s="72">
        <v>5000</v>
      </c>
      <c r="N13" s="55">
        <v>6857</v>
      </c>
      <c r="O13" s="56">
        <f t="shared" ref="O13:O31" si="7">+N13/M13</f>
        <v>1.3714</v>
      </c>
      <c r="P13" s="55">
        <v>322</v>
      </c>
      <c r="Q13" s="55">
        <v>234.95</v>
      </c>
      <c r="R13" s="57">
        <f t="shared" si="1"/>
        <v>0.72965838509316772</v>
      </c>
      <c r="S13" s="69" t="s">
        <v>40</v>
      </c>
      <c r="T13" s="58">
        <v>10000</v>
      </c>
      <c r="U13" s="55">
        <v>11449</v>
      </c>
      <c r="V13" s="56">
        <f t="shared" si="2"/>
        <v>1.1449</v>
      </c>
      <c r="W13" s="55">
        <v>356.2</v>
      </c>
      <c r="X13" s="55">
        <v>220.2</v>
      </c>
      <c r="Y13" s="57">
        <f t="shared" si="3"/>
        <v>0.61819202695115105</v>
      </c>
      <c r="Z13" s="69" t="s">
        <v>41</v>
      </c>
      <c r="AA13" s="58">
        <v>10000</v>
      </c>
      <c r="AB13" s="76" t="s">
        <v>42</v>
      </c>
      <c r="AC13" s="77">
        <v>1.44</v>
      </c>
      <c r="AD13" s="63">
        <v>282.60000000000002</v>
      </c>
      <c r="AE13" s="63">
        <v>105.3</v>
      </c>
      <c r="AF13" s="64">
        <v>0.37261146496815284</v>
      </c>
      <c r="AG13" s="163">
        <f t="shared" si="4"/>
        <v>1.4436999999999998</v>
      </c>
      <c r="AH13" s="163">
        <f t="shared" si="5"/>
        <v>0.75605291430235078</v>
      </c>
      <c r="AI13" s="65"/>
    </row>
    <row r="14" spans="1:37" ht="165.75" x14ac:dyDescent="0.25">
      <c r="A14" s="67" t="s">
        <v>20</v>
      </c>
      <c r="B14" s="165" t="s">
        <v>33</v>
      </c>
      <c r="C14" s="221">
        <v>4</v>
      </c>
      <c r="D14" s="68" t="s">
        <v>43</v>
      </c>
      <c r="E14" s="69" t="s">
        <v>44</v>
      </c>
      <c r="F14" s="66">
        <v>1800</v>
      </c>
      <c r="G14" s="70">
        <v>3637</v>
      </c>
      <c r="H14" s="53">
        <f t="shared" si="0"/>
        <v>2.0205555555555557</v>
      </c>
      <c r="I14" s="70">
        <v>34.700000000000003</v>
      </c>
      <c r="J14" s="70">
        <v>37.25</v>
      </c>
      <c r="K14" s="71">
        <f t="shared" si="6"/>
        <v>1.073487031700288</v>
      </c>
      <c r="L14" s="69" t="s">
        <v>45</v>
      </c>
      <c r="M14" s="72">
        <v>1800</v>
      </c>
      <c r="N14" s="76">
        <v>7499</v>
      </c>
      <c r="O14" s="56">
        <f t="shared" si="7"/>
        <v>4.1661111111111113</v>
      </c>
      <c r="P14" s="76">
        <v>388.66</v>
      </c>
      <c r="Q14" s="76">
        <v>259.37</v>
      </c>
      <c r="R14" s="57">
        <f t="shared" si="1"/>
        <v>0.66734420830545971</v>
      </c>
      <c r="S14" s="69">
        <v>3000</v>
      </c>
      <c r="T14" s="72">
        <v>10000</v>
      </c>
      <c r="U14" s="76">
        <v>12176</v>
      </c>
      <c r="V14" s="56">
        <f>+U14/T14</f>
        <v>1.2176</v>
      </c>
      <c r="W14" s="76">
        <v>10.3</v>
      </c>
      <c r="X14" s="55">
        <v>10.3</v>
      </c>
      <c r="Y14" s="57">
        <f t="shared" si="3"/>
        <v>1</v>
      </c>
      <c r="Z14" s="69">
        <v>3800</v>
      </c>
      <c r="AA14" s="72">
        <v>11800</v>
      </c>
      <c r="AB14" s="78" t="s">
        <v>46</v>
      </c>
      <c r="AC14" s="75">
        <v>1.29</v>
      </c>
      <c r="AD14" s="63">
        <v>38.6</v>
      </c>
      <c r="AE14" s="63">
        <v>2.4</v>
      </c>
      <c r="AF14" s="64">
        <v>6.2176165803108807E-2</v>
      </c>
      <c r="AG14" s="163">
        <f t="shared" si="4"/>
        <v>2.1735666666666669</v>
      </c>
      <c r="AH14" s="163">
        <f t="shared" si="5"/>
        <v>0.91361041333524928</v>
      </c>
      <c r="AI14" s="65"/>
    </row>
    <row r="15" spans="1:37" s="83" customFormat="1" ht="120" x14ac:dyDescent="0.25">
      <c r="A15" s="79" t="s">
        <v>20</v>
      </c>
      <c r="B15" s="80" t="s">
        <v>33</v>
      </c>
      <c r="C15" s="455">
        <v>3</v>
      </c>
      <c r="D15" s="68" t="s">
        <v>47</v>
      </c>
      <c r="E15" s="69" t="s">
        <v>48</v>
      </c>
      <c r="F15" s="66">
        <v>500</v>
      </c>
      <c r="G15" s="70">
        <v>756</v>
      </c>
      <c r="H15" s="81">
        <f t="shared" si="0"/>
        <v>1.512</v>
      </c>
      <c r="I15" s="70">
        <v>173.7</v>
      </c>
      <c r="J15" s="70">
        <v>157.19999999999999</v>
      </c>
      <c r="K15" s="71">
        <f t="shared" si="6"/>
        <v>0.9050086355785838</v>
      </c>
      <c r="L15" s="69" t="s">
        <v>48</v>
      </c>
      <c r="M15" s="58">
        <v>500</v>
      </c>
      <c r="N15" s="55">
        <v>2410</v>
      </c>
      <c r="O15" s="56">
        <f t="shared" si="7"/>
        <v>4.82</v>
      </c>
      <c r="P15" s="55">
        <v>137</v>
      </c>
      <c r="Q15" s="55">
        <v>128.80000000000001</v>
      </c>
      <c r="R15" s="57">
        <f t="shared" si="1"/>
        <v>0.94014598540145988</v>
      </c>
      <c r="S15" s="69" t="s">
        <v>48</v>
      </c>
      <c r="T15" s="58">
        <v>500</v>
      </c>
      <c r="U15" s="55">
        <v>1329</v>
      </c>
      <c r="V15" s="56">
        <f t="shared" si="2"/>
        <v>2.6579999999999999</v>
      </c>
      <c r="W15" s="55">
        <v>75</v>
      </c>
      <c r="X15" s="55">
        <v>57</v>
      </c>
      <c r="Y15" s="57">
        <f t="shared" si="3"/>
        <v>0.76</v>
      </c>
      <c r="Z15" s="69" t="s">
        <v>48</v>
      </c>
      <c r="AA15" s="58">
        <v>500</v>
      </c>
      <c r="AB15" s="55" t="s">
        <v>49</v>
      </c>
      <c r="AC15" s="75">
        <v>3.98</v>
      </c>
      <c r="AD15" s="63">
        <v>90.8</v>
      </c>
      <c r="AE15" s="63">
        <v>20.49</v>
      </c>
      <c r="AF15" s="64">
        <v>0.22566079295154184</v>
      </c>
      <c r="AG15" s="163">
        <f t="shared" si="4"/>
        <v>3.2425000000000002</v>
      </c>
      <c r="AH15" s="82">
        <f t="shared" si="5"/>
        <v>0.86838487366001471</v>
      </c>
      <c r="AI15" s="13"/>
      <c r="AK15" s="84">
        <f>(1992*100)/500</f>
        <v>398.4</v>
      </c>
    </row>
    <row r="16" spans="1:37" ht="90" x14ac:dyDescent="0.25">
      <c r="A16" s="67" t="s">
        <v>20</v>
      </c>
      <c r="B16" s="165" t="s">
        <v>33</v>
      </c>
      <c r="C16" s="221">
        <v>3</v>
      </c>
      <c r="D16" s="68" t="s">
        <v>50</v>
      </c>
      <c r="E16" s="69" t="s">
        <v>51</v>
      </c>
      <c r="F16" s="66">
        <v>100</v>
      </c>
      <c r="G16" s="70">
        <v>27</v>
      </c>
      <c r="H16" s="53">
        <f t="shared" si="0"/>
        <v>0.27</v>
      </c>
      <c r="I16" s="70">
        <v>173.7</v>
      </c>
      <c r="J16" s="70">
        <v>157.19999999999999</v>
      </c>
      <c r="K16" s="71">
        <f t="shared" si="6"/>
        <v>0.9050086355785838</v>
      </c>
      <c r="L16" s="69" t="s">
        <v>51</v>
      </c>
      <c r="M16" s="72">
        <v>50</v>
      </c>
      <c r="N16" s="55">
        <v>134</v>
      </c>
      <c r="O16" s="56">
        <f t="shared" si="7"/>
        <v>2.68</v>
      </c>
      <c r="P16" s="55">
        <v>44.22</v>
      </c>
      <c r="Q16" s="55">
        <v>41.57</v>
      </c>
      <c r="R16" s="57">
        <f t="shared" si="1"/>
        <v>0.94007236544549977</v>
      </c>
      <c r="S16" s="69" t="s">
        <v>51</v>
      </c>
      <c r="T16" s="72">
        <v>100</v>
      </c>
      <c r="U16" s="55">
        <v>105</v>
      </c>
      <c r="V16" s="56">
        <f t="shared" si="2"/>
        <v>1.05</v>
      </c>
      <c r="W16" s="55">
        <v>58.4</v>
      </c>
      <c r="X16" s="55">
        <v>50.8</v>
      </c>
      <c r="Y16" s="57">
        <f t="shared" si="3"/>
        <v>0.86986301369863006</v>
      </c>
      <c r="Z16" s="69" t="s">
        <v>51</v>
      </c>
      <c r="AA16" s="72">
        <v>50</v>
      </c>
      <c r="AB16" s="42" t="s">
        <v>52</v>
      </c>
      <c r="AC16" s="75">
        <v>3.2</v>
      </c>
      <c r="AD16" s="63">
        <v>155.25</v>
      </c>
      <c r="AE16" s="63">
        <v>31.97</v>
      </c>
      <c r="AF16" s="64">
        <v>0.20592592592592593</v>
      </c>
      <c r="AG16" s="163">
        <f t="shared" si="4"/>
        <v>1.8</v>
      </c>
      <c r="AH16" s="163">
        <f t="shared" si="5"/>
        <v>0.90498133824090454</v>
      </c>
      <c r="AI16" s="65"/>
    </row>
    <row r="17" spans="1:36" ht="105.75" x14ac:dyDescent="0.25">
      <c r="A17" s="67" t="s">
        <v>53</v>
      </c>
      <c r="B17" s="165" t="s">
        <v>54</v>
      </c>
      <c r="C17" s="221">
        <v>6</v>
      </c>
      <c r="D17" s="68" t="s">
        <v>55</v>
      </c>
      <c r="E17" s="73" t="s">
        <v>56</v>
      </c>
      <c r="F17" s="66">
        <v>3500</v>
      </c>
      <c r="G17" s="70">
        <v>4758</v>
      </c>
      <c r="H17" s="53">
        <f t="shared" si="0"/>
        <v>1.3594285714285714</v>
      </c>
      <c r="I17" s="70" t="s">
        <v>57</v>
      </c>
      <c r="J17" s="70" t="s">
        <v>57</v>
      </c>
      <c r="K17" s="71" t="s">
        <v>57</v>
      </c>
      <c r="L17" s="73" t="s">
        <v>56</v>
      </c>
      <c r="M17" s="72">
        <v>6000</v>
      </c>
      <c r="N17" s="55">
        <v>6280</v>
      </c>
      <c r="O17" s="56">
        <f t="shared" si="7"/>
        <v>1.0466666666666666</v>
      </c>
      <c r="P17" s="55">
        <v>415.43</v>
      </c>
      <c r="Q17" s="55">
        <v>183.28</v>
      </c>
      <c r="R17" s="57">
        <f t="shared" si="1"/>
        <v>0.44118142647377417</v>
      </c>
      <c r="S17" s="73" t="s">
        <v>56</v>
      </c>
      <c r="T17" s="72">
        <v>6000</v>
      </c>
      <c r="U17" s="55">
        <v>6899</v>
      </c>
      <c r="V17" s="56">
        <f t="shared" si="2"/>
        <v>1.1498333333333333</v>
      </c>
      <c r="W17" s="55">
        <v>160.88999999999999</v>
      </c>
      <c r="X17" s="55">
        <v>116</v>
      </c>
      <c r="Y17" s="57">
        <f t="shared" si="3"/>
        <v>0.72098949592889561</v>
      </c>
      <c r="Z17" s="73" t="s">
        <v>56</v>
      </c>
      <c r="AA17" s="72">
        <v>6000</v>
      </c>
      <c r="AB17" s="55" t="s">
        <v>58</v>
      </c>
      <c r="AC17" s="75">
        <v>0.84</v>
      </c>
      <c r="AD17" s="63">
        <v>27.2</v>
      </c>
      <c r="AE17" s="63">
        <v>3.31</v>
      </c>
      <c r="AF17" s="64">
        <v>0.12169117647058825</v>
      </c>
      <c r="AG17" s="163">
        <f t="shared" si="4"/>
        <v>1.0989821428571429</v>
      </c>
      <c r="AH17" s="163">
        <f t="shared" si="5"/>
        <v>0.58108546120133486</v>
      </c>
      <c r="AI17" s="65"/>
    </row>
    <row r="18" spans="1:36" ht="60.75" x14ac:dyDescent="0.25">
      <c r="A18" s="67" t="s">
        <v>53</v>
      </c>
      <c r="B18" s="165" t="s">
        <v>54</v>
      </c>
      <c r="C18" s="221">
        <v>6</v>
      </c>
      <c r="D18" s="68" t="s">
        <v>59</v>
      </c>
      <c r="E18" s="69">
        <v>0</v>
      </c>
      <c r="F18" s="66">
        <v>300</v>
      </c>
      <c r="G18" s="70">
        <v>458</v>
      </c>
      <c r="H18" s="53">
        <f t="shared" si="0"/>
        <v>1.5266666666666666</v>
      </c>
      <c r="I18" s="70">
        <v>470</v>
      </c>
      <c r="J18" s="70">
        <v>392.8</v>
      </c>
      <c r="K18" s="71">
        <f t="shared" si="6"/>
        <v>0.8357446808510639</v>
      </c>
      <c r="L18" s="69">
        <v>0</v>
      </c>
      <c r="M18" s="72">
        <v>300</v>
      </c>
      <c r="N18" s="55">
        <v>386</v>
      </c>
      <c r="O18" s="56">
        <f t="shared" si="7"/>
        <v>1.2866666666666666</v>
      </c>
      <c r="P18" s="55">
        <v>274.08999999999997</v>
      </c>
      <c r="Q18" s="55">
        <v>291.43</v>
      </c>
      <c r="R18" s="57">
        <f t="shared" si="1"/>
        <v>1.0632638914225256</v>
      </c>
      <c r="S18" s="69" t="s">
        <v>60</v>
      </c>
      <c r="T18" s="72">
        <v>300</v>
      </c>
      <c r="U18" s="55">
        <v>377</v>
      </c>
      <c r="V18" s="56">
        <f t="shared" si="2"/>
        <v>1.2566666666666666</v>
      </c>
      <c r="W18" s="55">
        <v>452.3</v>
      </c>
      <c r="X18" s="55">
        <v>417</v>
      </c>
      <c r="Y18" s="57">
        <f t="shared" si="3"/>
        <v>0.92195445500773821</v>
      </c>
      <c r="Z18" s="69" t="s">
        <v>60</v>
      </c>
      <c r="AA18" s="72">
        <v>300</v>
      </c>
      <c r="AB18" s="76" t="s">
        <v>61</v>
      </c>
      <c r="AC18" s="75">
        <v>0.9</v>
      </c>
      <c r="AD18" s="63">
        <v>303.33999999999997</v>
      </c>
      <c r="AE18" s="63">
        <v>92.23</v>
      </c>
      <c r="AF18" s="64">
        <v>0.30404826267554563</v>
      </c>
      <c r="AG18" s="163">
        <f t="shared" si="4"/>
        <v>1.2425000000000002</v>
      </c>
      <c r="AH18" s="163">
        <f t="shared" si="5"/>
        <v>0.94032100909377592</v>
      </c>
      <c r="AI18" s="65"/>
    </row>
    <row r="19" spans="1:36" ht="106.5" x14ac:dyDescent="0.25">
      <c r="A19" s="67" t="s">
        <v>53</v>
      </c>
      <c r="B19" s="165" t="s">
        <v>54</v>
      </c>
      <c r="C19" s="221">
        <v>6</v>
      </c>
      <c r="D19" s="164" t="s">
        <v>62</v>
      </c>
      <c r="E19" s="85">
        <v>0</v>
      </c>
      <c r="F19" s="86">
        <v>30</v>
      </c>
      <c r="G19" s="80">
        <v>18</v>
      </c>
      <c r="H19" s="53">
        <f t="shared" si="0"/>
        <v>0.6</v>
      </c>
      <c r="I19" s="80" t="s">
        <v>57</v>
      </c>
      <c r="J19" s="80" t="s">
        <v>57</v>
      </c>
      <c r="K19" s="71" t="s">
        <v>57</v>
      </c>
      <c r="L19" s="85">
        <v>0</v>
      </c>
      <c r="M19" s="72">
        <v>40</v>
      </c>
      <c r="N19" s="55">
        <v>51</v>
      </c>
      <c r="O19" s="56">
        <f t="shared" si="7"/>
        <v>1.2749999999999999</v>
      </c>
      <c r="P19" s="55">
        <v>11.45</v>
      </c>
      <c r="Q19" s="55">
        <v>6.89</v>
      </c>
      <c r="R19" s="57">
        <f t="shared" si="1"/>
        <v>0.6017467248908297</v>
      </c>
      <c r="S19" s="85" t="s">
        <v>63</v>
      </c>
      <c r="T19" s="72">
        <v>50</v>
      </c>
      <c r="U19" s="55">
        <v>162</v>
      </c>
      <c r="V19" s="56">
        <f t="shared" si="2"/>
        <v>3.24</v>
      </c>
      <c r="W19" s="55">
        <v>13.7</v>
      </c>
      <c r="X19" s="55">
        <v>7.8</v>
      </c>
      <c r="Y19" s="57">
        <f t="shared" si="3"/>
        <v>0.56934306569343063</v>
      </c>
      <c r="Z19" s="85" t="s">
        <v>63</v>
      </c>
      <c r="AA19" s="72" t="s">
        <v>64</v>
      </c>
      <c r="AB19" s="55">
        <v>262</v>
      </c>
      <c r="AC19" s="75">
        <v>4.37</v>
      </c>
      <c r="AD19" s="63">
        <v>14</v>
      </c>
      <c r="AE19" s="63">
        <v>2.85</v>
      </c>
      <c r="AF19" s="64">
        <v>0.20357142857142857</v>
      </c>
      <c r="AG19" s="163">
        <f t="shared" si="4"/>
        <v>2.3712499999999999</v>
      </c>
      <c r="AH19" s="163">
        <f t="shared" si="5"/>
        <v>0.58554489529213016</v>
      </c>
      <c r="AI19" s="65"/>
    </row>
    <row r="20" spans="1:36" ht="124.5" customHeight="1" x14ac:dyDescent="0.25">
      <c r="A20" s="67" t="s">
        <v>53</v>
      </c>
      <c r="B20" s="534" t="s">
        <v>54</v>
      </c>
      <c r="C20" s="221">
        <v>6</v>
      </c>
      <c r="D20" s="559" t="s">
        <v>65</v>
      </c>
      <c r="E20" s="563" t="s">
        <v>66</v>
      </c>
      <c r="F20" s="86">
        <v>250</v>
      </c>
      <c r="G20" s="80">
        <v>266</v>
      </c>
      <c r="H20" s="53">
        <f t="shared" si="0"/>
        <v>1.0640000000000001</v>
      </c>
      <c r="I20" s="80" t="s">
        <v>57</v>
      </c>
      <c r="J20" s="80" t="s">
        <v>67</v>
      </c>
      <c r="K20" s="71" t="s">
        <v>57</v>
      </c>
      <c r="L20" s="563" t="s">
        <v>68</v>
      </c>
      <c r="M20" s="72">
        <v>250</v>
      </c>
      <c r="N20" s="55">
        <v>0</v>
      </c>
      <c r="O20" s="56">
        <f t="shared" si="7"/>
        <v>0</v>
      </c>
      <c r="P20" s="55">
        <v>30</v>
      </c>
      <c r="Q20" s="55">
        <v>0</v>
      </c>
      <c r="R20" s="57">
        <f t="shared" si="1"/>
        <v>0</v>
      </c>
      <c r="S20" s="563" t="s">
        <v>69</v>
      </c>
      <c r="T20" s="72">
        <v>250</v>
      </c>
      <c r="U20" s="55">
        <v>330</v>
      </c>
      <c r="V20" s="56">
        <f t="shared" si="2"/>
        <v>1.32</v>
      </c>
      <c r="W20" s="55">
        <v>99.35</v>
      </c>
      <c r="X20" s="55">
        <v>29.35</v>
      </c>
      <c r="Y20" s="57">
        <f t="shared" si="3"/>
        <v>0.29542023150478108</v>
      </c>
      <c r="Z20" s="563" t="s">
        <v>69</v>
      </c>
      <c r="AA20" s="72" t="s">
        <v>70</v>
      </c>
      <c r="AB20" s="55" t="s">
        <v>71</v>
      </c>
      <c r="AC20" s="62" t="s">
        <v>72</v>
      </c>
      <c r="AD20" s="55" t="s">
        <v>73</v>
      </c>
      <c r="AE20" s="55" t="s">
        <v>73</v>
      </c>
      <c r="AF20" s="87" t="e">
        <v>#VALUE!</v>
      </c>
      <c r="AG20" s="163">
        <f t="shared" si="4"/>
        <v>0.79466666666666674</v>
      </c>
      <c r="AH20" s="558">
        <f t="shared" si="5"/>
        <v>0.14771011575239054</v>
      </c>
      <c r="AI20" s="65"/>
    </row>
    <row r="21" spans="1:36" ht="42.75" customHeight="1" x14ac:dyDescent="0.25">
      <c r="A21" s="67"/>
      <c r="B21" s="534"/>
      <c r="C21" s="221">
        <v>6</v>
      </c>
      <c r="D21" s="559"/>
      <c r="E21" s="564"/>
      <c r="F21" s="86">
        <v>20</v>
      </c>
      <c r="G21" s="80"/>
      <c r="H21" s="53"/>
      <c r="I21" s="80"/>
      <c r="J21" s="80"/>
      <c r="K21" s="71"/>
      <c r="L21" s="564"/>
      <c r="M21" s="72">
        <v>20</v>
      </c>
      <c r="N21" s="55"/>
      <c r="O21" s="56"/>
      <c r="P21" s="55"/>
      <c r="Q21" s="55"/>
      <c r="R21" s="57"/>
      <c r="S21" s="564"/>
      <c r="T21" s="72" t="s">
        <v>74</v>
      </c>
      <c r="U21" s="55" t="s">
        <v>75</v>
      </c>
      <c r="V21" s="88">
        <f>7/20*100</f>
        <v>35</v>
      </c>
      <c r="W21" s="55"/>
      <c r="X21" s="55"/>
      <c r="Y21" s="57"/>
      <c r="Z21" s="564"/>
      <c r="AA21" s="72" t="s">
        <v>76</v>
      </c>
      <c r="AB21" s="89" t="s">
        <v>77</v>
      </c>
      <c r="AC21" s="62">
        <v>0.3</v>
      </c>
      <c r="AD21" s="55"/>
      <c r="AE21" s="55"/>
      <c r="AF21" s="87"/>
      <c r="AG21" s="163"/>
      <c r="AH21" s="558"/>
      <c r="AI21" s="65"/>
    </row>
    <row r="22" spans="1:36" ht="120.75" x14ac:dyDescent="0.25">
      <c r="A22" s="67" t="s">
        <v>20</v>
      </c>
      <c r="B22" s="165" t="s">
        <v>54</v>
      </c>
      <c r="C22" s="221">
        <v>2</v>
      </c>
      <c r="D22" s="170" t="s">
        <v>78</v>
      </c>
      <c r="E22" s="73"/>
      <c r="F22" s="51" t="s">
        <v>57</v>
      </c>
      <c r="G22" s="52">
        <v>0</v>
      </c>
      <c r="H22" s="53" t="s">
        <v>67</v>
      </c>
      <c r="I22" s="52" t="s">
        <v>57</v>
      </c>
      <c r="J22" s="52" t="s">
        <v>57</v>
      </c>
      <c r="K22" s="71" t="s">
        <v>57</v>
      </c>
      <c r="L22" s="90" t="s">
        <v>79</v>
      </c>
      <c r="M22" s="91" t="s">
        <v>80</v>
      </c>
      <c r="N22" s="92" t="s">
        <v>81</v>
      </c>
      <c r="O22" s="56">
        <v>2.2000000000000002</v>
      </c>
      <c r="P22" s="76">
        <v>210.59</v>
      </c>
      <c r="Q22" s="76">
        <v>10.24</v>
      </c>
      <c r="R22" s="57">
        <f t="shared" si="1"/>
        <v>4.862529084951802E-2</v>
      </c>
      <c r="S22" s="90" t="s">
        <v>82</v>
      </c>
      <c r="T22" s="91" t="s">
        <v>83</v>
      </c>
      <c r="U22" s="93" t="s">
        <v>84</v>
      </c>
      <c r="V22" s="56">
        <f>10.26/10</f>
        <v>1.026</v>
      </c>
      <c r="W22" s="76">
        <v>6</v>
      </c>
      <c r="X22" s="76">
        <v>5.9</v>
      </c>
      <c r="Y22" s="57">
        <f t="shared" si="3"/>
        <v>0.98333333333333339</v>
      </c>
      <c r="Z22" s="90" t="s">
        <v>82</v>
      </c>
      <c r="AA22" s="91" t="s">
        <v>85</v>
      </c>
      <c r="AB22" s="94" t="s">
        <v>86</v>
      </c>
      <c r="AC22" s="62">
        <v>0.93</v>
      </c>
      <c r="AD22" s="63">
        <v>3.79</v>
      </c>
      <c r="AE22" s="63">
        <v>0.22500000000000001</v>
      </c>
      <c r="AF22" s="64">
        <v>5.9366754617414245E-2</v>
      </c>
      <c r="AG22" s="163">
        <f t="shared" ref="AG22:AG27" si="8">AVERAGE(H22,O22,V22,AC22)</f>
        <v>1.3853333333333333</v>
      </c>
      <c r="AH22" s="163">
        <f t="shared" si="5"/>
        <v>0.51597931209142567</v>
      </c>
      <c r="AI22" s="95"/>
    </row>
    <row r="23" spans="1:36" ht="75" x14ac:dyDescent="0.25">
      <c r="A23" s="67" t="s">
        <v>20</v>
      </c>
      <c r="B23" s="165" t="s">
        <v>54</v>
      </c>
      <c r="C23" s="221">
        <v>1</v>
      </c>
      <c r="D23" s="170" t="s">
        <v>87</v>
      </c>
      <c r="E23" s="90">
        <v>1000</v>
      </c>
      <c r="F23" s="51">
        <v>800</v>
      </c>
      <c r="G23" s="52">
        <v>1219</v>
      </c>
      <c r="H23" s="53">
        <f t="shared" si="0"/>
        <v>1.5237499999999999</v>
      </c>
      <c r="I23" s="52">
        <v>1275</v>
      </c>
      <c r="J23" s="52">
        <v>1601.1</v>
      </c>
      <c r="K23" s="71">
        <f t="shared" si="6"/>
        <v>1.2557647058823529</v>
      </c>
      <c r="L23" s="90">
        <v>1000</v>
      </c>
      <c r="M23" s="72">
        <v>800</v>
      </c>
      <c r="N23" s="55">
        <v>825</v>
      </c>
      <c r="O23" s="56">
        <f t="shared" si="7"/>
        <v>1.03125</v>
      </c>
      <c r="P23" s="55">
        <v>1511</v>
      </c>
      <c r="Q23" s="55">
        <v>1254</v>
      </c>
      <c r="R23" s="57">
        <f t="shared" si="1"/>
        <v>0.82991396426207809</v>
      </c>
      <c r="S23" s="90" t="s">
        <v>88</v>
      </c>
      <c r="T23" s="72">
        <v>1000</v>
      </c>
      <c r="U23" s="55">
        <v>746</v>
      </c>
      <c r="V23" s="56">
        <f t="shared" si="2"/>
        <v>0.746</v>
      </c>
      <c r="W23" s="55">
        <v>1197</v>
      </c>
      <c r="X23" s="55">
        <v>602.6</v>
      </c>
      <c r="Y23" s="57">
        <f t="shared" si="3"/>
        <v>0.50342522974101922</v>
      </c>
      <c r="Z23" s="90">
        <v>1000</v>
      </c>
      <c r="AA23" s="72">
        <v>1000</v>
      </c>
      <c r="AB23" s="55">
        <v>0</v>
      </c>
      <c r="AC23" s="62">
        <v>0</v>
      </c>
      <c r="AD23" s="96">
        <v>0</v>
      </c>
      <c r="AE23" s="96">
        <v>0</v>
      </c>
      <c r="AF23" s="97">
        <v>0</v>
      </c>
      <c r="AG23" s="163">
        <f t="shared" si="8"/>
        <v>0.82524999999999993</v>
      </c>
      <c r="AH23" s="163">
        <f t="shared" si="5"/>
        <v>0.86303463329515007</v>
      </c>
      <c r="AI23" s="65"/>
    </row>
    <row r="24" spans="1:36" ht="75" x14ac:dyDescent="0.25">
      <c r="A24" s="67" t="s">
        <v>20</v>
      </c>
      <c r="B24" s="165" t="s">
        <v>54</v>
      </c>
      <c r="C24" s="221">
        <v>1</v>
      </c>
      <c r="D24" s="170" t="s">
        <v>89</v>
      </c>
      <c r="E24" s="73"/>
      <c r="F24" s="51">
        <v>25</v>
      </c>
      <c r="G24" s="52">
        <v>8</v>
      </c>
      <c r="H24" s="53">
        <f t="shared" si="0"/>
        <v>0.32</v>
      </c>
      <c r="I24" s="52">
        <v>225</v>
      </c>
      <c r="J24" s="52">
        <v>186.3</v>
      </c>
      <c r="K24" s="71">
        <f t="shared" si="6"/>
        <v>0.82800000000000007</v>
      </c>
      <c r="L24" s="73"/>
      <c r="M24" s="72">
        <v>25</v>
      </c>
      <c r="N24" s="55">
        <v>17</v>
      </c>
      <c r="O24" s="56">
        <f t="shared" si="7"/>
        <v>0.68</v>
      </c>
      <c r="P24" s="55">
        <v>225</v>
      </c>
      <c r="Q24" s="55">
        <v>87.46</v>
      </c>
      <c r="R24" s="57">
        <f t="shared" si="1"/>
        <v>0.38871111111111106</v>
      </c>
      <c r="S24" s="73"/>
      <c r="T24" s="72">
        <v>25</v>
      </c>
      <c r="U24" s="55">
        <v>7</v>
      </c>
      <c r="V24" s="56">
        <f t="shared" si="2"/>
        <v>0.28000000000000003</v>
      </c>
      <c r="W24" s="55">
        <v>48.7</v>
      </c>
      <c r="X24" s="55">
        <v>31.1</v>
      </c>
      <c r="Y24" s="57">
        <f t="shared" si="3"/>
        <v>0.6386036960985626</v>
      </c>
      <c r="Z24" s="73"/>
      <c r="AA24" s="72">
        <v>25</v>
      </c>
      <c r="AB24" s="55">
        <v>0</v>
      </c>
      <c r="AC24" s="55">
        <v>0</v>
      </c>
      <c r="AD24" s="96">
        <v>252.31</v>
      </c>
      <c r="AE24" s="96">
        <v>50.82</v>
      </c>
      <c r="AF24" s="64">
        <v>0.1</v>
      </c>
      <c r="AG24" s="163">
        <f t="shared" si="8"/>
        <v>0.32</v>
      </c>
      <c r="AH24" s="98">
        <f t="shared" si="5"/>
        <v>0.61843826906989119</v>
      </c>
      <c r="AI24" s="65"/>
    </row>
    <row r="25" spans="1:36" ht="90" x14ac:dyDescent="0.25">
      <c r="A25" s="67" t="s">
        <v>53</v>
      </c>
      <c r="B25" s="165" t="s">
        <v>90</v>
      </c>
      <c r="C25" s="221">
        <v>6</v>
      </c>
      <c r="D25" s="164" t="s">
        <v>91</v>
      </c>
      <c r="E25" s="85"/>
      <c r="F25" s="86">
        <v>10</v>
      </c>
      <c r="G25" s="80">
        <v>10</v>
      </c>
      <c r="H25" s="53">
        <f t="shared" si="0"/>
        <v>1</v>
      </c>
      <c r="I25" s="80"/>
      <c r="J25" s="80"/>
      <c r="K25" s="71">
        <v>0</v>
      </c>
      <c r="L25" s="85" t="s">
        <v>92</v>
      </c>
      <c r="M25" s="72">
        <v>7</v>
      </c>
      <c r="N25" s="55">
        <v>5</v>
      </c>
      <c r="O25" s="56">
        <f t="shared" si="7"/>
        <v>0.7142857142857143</v>
      </c>
      <c r="P25" s="55">
        <v>4.9000000000000004</v>
      </c>
      <c r="Q25" s="55">
        <v>4.5</v>
      </c>
      <c r="R25" s="57">
        <f t="shared" si="1"/>
        <v>0.91836734693877542</v>
      </c>
      <c r="S25" s="85" t="s">
        <v>93</v>
      </c>
      <c r="T25" s="58" t="s">
        <v>94</v>
      </c>
      <c r="U25" s="55">
        <v>15</v>
      </c>
      <c r="V25" s="99">
        <v>0.625</v>
      </c>
      <c r="W25" s="55">
        <v>2.2999999999999998</v>
      </c>
      <c r="X25" s="55">
        <v>1.3</v>
      </c>
      <c r="Y25" s="57">
        <f t="shared" si="3"/>
        <v>0.56521739130434789</v>
      </c>
      <c r="Z25" s="85" t="s">
        <v>93</v>
      </c>
      <c r="AA25" s="58" t="s">
        <v>95</v>
      </c>
      <c r="AB25" s="55">
        <v>17</v>
      </c>
      <c r="AC25" s="62">
        <v>0.55000000000000004</v>
      </c>
      <c r="AD25" s="63">
        <v>3.1</v>
      </c>
      <c r="AE25" s="63">
        <v>0.16875000000000001</v>
      </c>
      <c r="AF25" s="64">
        <v>5.4435483870967742E-2</v>
      </c>
      <c r="AG25" s="163">
        <f t="shared" si="8"/>
        <v>0.72232142857142856</v>
      </c>
      <c r="AH25" s="163">
        <f t="shared" si="5"/>
        <v>0.49452824608104112</v>
      </c>
      <c r="AI25" s="65"/>
    </row>
    <row r="26" spans="1:36" ht="135" x14ac:dyDescent="0.25">
      <c r="A26" s="67" t="s">
        <v>20</v>
      </c>
      <c r="B26" s="165" t="s">
        <v>90</v>
      </c>
      <c r="C26" s="221">
        <v>1</v>
      </c>
      <c r="D26" s="100" t="s">
        <v>96</v>
      </c>
      <c r="E26" s="85" t="s">
        <v>97</v>
      </c>
      <c r="F26" s="101">
        <v>17</v>
      </c>
      <c r="G26" s="102">
        <v>0</v>
      </c>
      <c r="H26" s="53">
        <f t="shared" si="0"/>
        <v>0</v>
      </c>
      <c r="I26" s="102">
        <v>158.19999999999999</v>
      </c>
      <c r="J26" s="102">
        <v>180.6</v>
      </c>
      <c r="K26" s="71">
        <f t="shared" si="6"/>
        <v>1.1415929203539823</v>
      </c>
      <c r="L26" s="85" t="s">
        <v>97</v>
      </c>
      <c r="M26" s="72" t="s">
        <v>98</v>
      </c>
      <c r="N26" s="55">
        <v>45</v>
      </c>
      <c r="O26" s="99">
        <v>1.40625</v>
      </c>
      <c r="P26" s="55">
        <v>173.2</v>
      </c>
      <c r="Q26" s="55">
        <v>96.41</v>
      </c>
      <c r="R26" s="57">
        <f t="shared" si="1"/>
        <v>0.5566397228637413</v>
      </c>
      <c r="S26" s="85" t="s">
        <v>97</v>
      </c>
      <c r="T26" s="72">
        <v>15</v>
      </c>
      <c r="U26" s="55">
        <v>22</v>
      </c>
      <c r="V26" s="56">
        <f t="shared" si="2"/>
        <v>1.4666666666666666</v>
      </c>
      <c r="W26" s="55">
        <v>453</v>
      </c>
      <c r="X26" s="55">
        <v>452.3</v>
      </c>
      <c r="Y26" s="57">
        <f t="shared" si="3"/>
        <v>0.99845474613686536</v>
      </c>
      <c r="Z26" s="85" t="s">
        <v>97</v>
      </c>
      <c r="AA26" s="72" t="s">
        <v>99</v>
      </c>
      <c r="AB26" s="55">
        <v>121</v>
      </c>
      <c r="AC26" s="75" t="s">
        <v>100</v>
      </c>
      <c r="AD26" s="63">
        <v>193.6</v>
      </c>
      <c r="AE26" s="63">
        <v>8.06</v>
      </c>
      <c r="AF26" s="64">
        <v>4.1632231404958683E-2</v>
      </c>
      <c r="AG26" s="163">
        <f t="shared" si="8"/>
        <v>0.95763888888888893</v>
      </c>
      <c r="AH26" s="163">
        <f t="shared" si="5"/>
        <v>0.89889579645152973</v>
      </c>
      <c r="AI26" s="65"/>
    </row>
    <row r="27" spans="1:36" ht="75" x14ac:dyDescent="0.25">
      <c r="A27" s="67" t="s">
        <v>20</v>
      </c>
      <c r="B27" s="165" t="s">
        <v>90</v>
      </c>
      <c r="C27" s="221">
        <v>7</v>
      </c>
      <c r="D27" s="100" t="s">
        <v>101</v>
      </c>
      <c r="E27" s="85" t="s">
        <v>102</v>
      </c>
      <c r="F27" s="101">
        <v>25</v>
      </c>
      <c r="G27" s="102">
        <v>14</v>
      </c>
      <c r="H27" s="53">
        <f t="shared" si="0"/>
        <v>0.56000000000000005</v>
      </c>
      <c r="I27" s="102">
        <v>0</v>
      </c>
      <c r="J27" s="102">
        <v>0</v>
      </c>
      <c r="K27" s="71">
        <v>0</v>
      </c>
      <c r="L27" s="85" t="s">
        <v>102</v>
      </c>
      <c r="M27" s="72">
        <v>25</v>
      </c>
      <c r="N27" s="55">
        <v>15</v>
      </c>
      <c r="O27" s="56">
        <f t="shared" si="7"/>
        <v>0.6</v>
      </c>
      <c r="P27" s="55">
        <v>18.5</v>
      </c>
      <c r="Q27" s="55">
        <v>13.5</v>
      </c>
      <c r="R27" s="57">
        <f t="shared" si="1"/>
        <v>0.72972972972972971</v>
      </c>
      <c r="S27" s="85" t="s">
        <v>103</v>
      </c>
      <c r="T27" s="91">
        <v>0.25</v>
      </c>
      <c r="U27" s="78">
        <v>0.20250000000000001</v>
      </c>
      <c r="V27" s="99">
        <f>+U27/T27</f>
        <v>0.81</v>
      </c>
      <c r="W27" s="55">
        <v>892.4</v>
      </c>
      <c r="X27" s="55">
        <v>541.29999999999995</v>
      </c>
      <c r="Y27" s="57">
        <f t="shared" si="3"/>
        <v>0.60656656207978477</v>
      </c>
      <c r="Z27" s="85" t="s">
        <v>103</v>
      </c>
      <c r="AA27" s="72">
        <v>25</v>
      </c>
      <c r="AB27" s="78">
        <v>0.2</v>
      </c>
      <c r="AC27" s="75">
        <v>0.8</v>
      </c>
      <c r="AD27" s="63">
        <v>78.61</v>
      </c>
      <c r="AE27" s="63">
        <v>17.72</v>
      </c>
      <c r="AF27" s="64">
        <v>0.22541661366238391</v>
      </c>
      <c r="AG27" s="163">
        <f t="shared" si="8"/>
        <v>0.69250000000000012</v>
      </c>
      <c r="AH27" s="163">
        <f t="shared" si="5"/>
        <v>0.44543209726983818</v>
      </c>
      <c r="AI27" s="65"/>
    </row>
    <row r="28" spans="1:36" ht="225" x14ac:dyDescent="0.25">
      <c r="A28" s="67" t="s">
        <v>20</v>
      </c>
      <c r="B28" s="165" t="s">
        <v>90</v>
      </c>
      <c r="C28" s="221"/>
      <c r="D28" s="100" t="s">
        <v>104</v>
      </c>
      <c r="E28" s="103"/>
      <c r="F28" s="101">
        <v>25</v>
      </c>
      <c r="G28" s="102">
        <v>0</v>
      </c>
      <c r="H28" s="53">
        <f t="shared" si="0"/>
        <v>0</v>
      </c>
      <c r="I28" s="102"/>
      <c r="J28" s="102"/>
      <c r="K28" s="71" t="e">
        <f t="shared" si="6"/>
        <v>#DIV/0!</v>
      </c>
      <c r="L28" s="103"/>
      <c r="M28" s="101" t="s">
        <v>105</v>
      </c>
      <c r="N28" s="102" t="s">
        <v>106</v>
      </c>
      <c r="O28" s="56" t="e">
        <f t="shared" si="7"/>
        <v>#VALUE!</v>
      </c>
      <c r="P28" s="55">
        <v>42.7</v>
      </c>
      <c r="Q28" s="55">
        <v>17.3</v>
      </c>
      <c r="R28" s="57">
        <f t="shared" si="1"/>
        <v>0.40515222482435598</v>
      </c>
      <c r="S28" s="103"/>
      <c r="T28" s="86" t="s">
        <v>107</v>
      </c>
      <c r="U28" s="80" t="s">
        <v>108</v>
      </c>
      <c r="V28" s="56">
        <v>0.75</v>
      </c>
      <c r="W28" s="55">
        <v>7.9</v>
      </c>
      <c r="X28" s="55">
        <v>4.9000000000000004</v>
      </c>
      <c r="Y28" s="57">
        <f t="shared" si="3"/>
        <v>0.620253164556962</v>
      </c>
      <c r="Z28" s="103"/>
      <c r="AA28" s="101" t="s">
        <v>105</v>
      </c>
      <c r="AB28" s="102" t="s">
        <v>109</v>
      </c>
      <c r="AC28" s="75">
        <v>0.75</v>
      </c>
      <c r="AD28" s="63">
        <v>30.8</v>
      </c>
      <c r="AE28" s="63">
        <v>3.39</v>
      </c>
      <c r="AF28" s="64">
        <v>0.11006493506493506</v>
      </c>
      <c r="AG28" s="163">
        <v>0.75</v>
      </c>
      <c r="AH28" s="163">
        <f>+AVERAGE(Y28,R28)</f>
        <v>0.51270269469065899</v>
      </c>
      <c r="AI28" s="65"/>
    </row>
    <row r="29" spans="1:36" ht="90" x14ac:dyDescent="0.25">
      <c r="A29" s="67" t="s">
        <v>20</v>
      </c>
      <c r="B29" s="165" t="s">
        <v>90</v>
      </c>
      <c r="C29" s="221"/>
      <c r="D29" s="100" t="s">
        <v>110</v>
      </c>
      <c r="E29" s="85" t="s">
        <v>92</v>
      </c>
      <c r="F29" s="101">
        <v>25</v>
      </c>
      <c r="G29" s="102">
        <v>0</v>
      </c>
      <c r="H29" s="53">
        <f t="shared" si="0"/>
        <v>0</v>
      </c>
      <c r="I29" s="102">
        <v>0</v>
      </c>
      <c r="J29" s="102"/>
      <c r="K29" s="71">
        <v>0</v>
      </c>
      <c r="L29" s="85" t="s">
        <v>92</v>
      </c>
      <c r="M29" s="91">
        <v>0.25</v>
      </c>
      <c r="N29" s="55">
        <v>0</v>
      </c>
      <c r="O29" s="56">
        <f t="shared" si="7"/>
        <v>0</v>
      </c>
      <c r="P29" s="55">
        <v>3.5</v>
      </c>
      <c r="Q29" s="55">
        <v>1.07</v>
      </c>
      <c r="R29" s="57">
        <f t="shared" si="1"/>
        <v>0.30571428571428572</v>
      </c>
      <c r="S29" s="85" t="s">
        <v>111</v>
      </c>
      <c r="T29" s="91">
        <v>0.25</v>
      </c>
      <c r="U29" s="92" t="s">
        <v>112</v>
      </c>
      <c r="V29" s="56">
        <v>0.4</v>
      </c>
      <c r="W29" s="55">
        <v>10.5</v>
      </c>
      <c r="X29" s="55">
        <v>10.5</v>
      </c>
      <c r="Y29" s="57">
        <f t="shared" si="3"/>
        <v>1</v>
      </c>
      <c r="Z29" s="85" t="s">
        <v>111</v>
      </c>
      <c r="AA29" s="91">
        <v>0.25</v>
      </c>
      <c r="AB29" s="55" t="s">
        <v>113</v>
      </c>
      <c r="AC29" s="75">
        <v>0</v>
      </c>
      <c r="AD29" s="63">
        <v>0</v>
      </c>
      <c r="AE29" s="63">
        <v>0</v>
      </c>
      <c r="AF29" s="64">
        <v>0</v>
      </c>
      <c r="AG29" s="98">
        <f>AVERAGE(H29,O29,V29,AC29)</f>
        <v>0.1</v>
      </c>
      <c r="AH29" s="98">
        <f t="shared" si="5"/>
        <v>0.4352380952380952</v>
      </c>
      <c r="AI29" s="65"/>
    </row>
    <row r="30" spans="1:36" ht="45" x14ac:dyDescent="0.25">
      <c r="A30" s="67" t="s">
        <v>20</v>
      </c>
      <c r="B30" s="165" t="s">
        <v>90</v>
      </c>
      <c r="C30" s="221"/>
      <c r="D30" s="100" t="s">
        <v>114</v>
      </c>
      <c r="E30" s="103"/>
      <c r="F30" s="101">
        <v>150</v>
      </c>
      <c r="G30" s="102">
        <v>2451</v>
      </c>
      <c r="H30" s="53">
        <f t="shared" si="0"/>
        <v>16.34</v>
      </c>
      <c r="I30" s="102">
        <v>26.7</v>
      </c>
      <c r="J30" s="102">
        <v>13.9</v>
      </c>
      <c r="K30" s="71">
        <f t="shared" si="6"/>
        <v>0.52059925093632964</v>
      </c>
      <c r="L30" s="103"/>
      <c r="M30" s="72">
        <v>150</v>
      </c>
      <c r="N30" s="55">
        <v>1341</v>
      </c>
      <c r="O30" s="56">
        <f t="shared" si="7"/>
        <v>8.94</v>
      </c>
      <c r="P30" s="55">
        <v>78.900000000000006</v>
      </c>
      <c r="Q30" s="55">
        <v>75.900000000000006</v>
      </c>
      <c r="R30" s="57">
        <f t="shared" si="1"/>
        <v>0.96197718631178708</v>
      </c>
      <c r="S30" s="103"/>
      <c r="T30" s="72">
        <v>150</v>
      </c>
      <c r="U30" s="55">
        <v>1893</v>
      </c>
      <c r="V30" s="56">
        <f t="shared" si="2"/>
        <v>12.62</v>
      </c>
      <c r="W30" s="55">
        <v>480.5</v>
      </c>
      <c r="X30" s="55">
        <v>353.3</v>
      </c>
      <c r="Y30" s="57">
        <f t="shared" si="3"/>
        <v>0.73527575442247661</v>
      </c>
      <c r="Z30" s="103"/>
      <c r="AA30" s="72">
        <v>150</v>
      </c>
      <c r="AB30" s="104">
        <v>415</v>
      </c>
      <c r="AC30" s="62">
        <v>2.77</v>
      </c>
      <c r="AD30" s="63">
        <v>349.08</v>
      </c>
      <c r="AE30" s="63">
        <v>74.5</v>
      </c>
      <c r="AF30" s="64">
        <v>0.2134181276498224</v>
      </c>
      <c r="AG30" s="98">
        <f>AVERAGE(H30,O30,V30,AC30)</f>
        <v>10.1675</v>
      </c>
      <c r="AH30" s="163">
        <f t="shared" si="5"/>
        <v>0.73928406389019774</v>
      </c>
      <c r="AI30" s="65"/>
      <c r="AJ30" s="84">
        <f>(19*100)/30</f>
        <v>63.333333333333336</v>
      </c>
    </row>
    <row r="31" spans="1:36" ht="150.75" thickBot="1" x14ac:dyDescent="0.3">
      <c r="A31" s="169" t="s">
        <v>20</v>
      </c>
      <c r="B31" s="105" t="s">
        <v>90</v>
      </c>
      <c r="C31" s="222"/>
      <c r="D31" s="106" t="s">
        <v>115</v>
      </c>
      <c r="E31" s="107">
        <v>25</v>
      </c>
      <c r="F31" s="108">
        <v>15</v>
      </c>
      <c r="G31" s="109">
        <v>11</v>
      </c>
      <c r="H31" s="110">
        <f t="shared" si="0"/>
        <v>0.73333333333333328</v>
      </c>
      <c r="I31" s="109">
        <v>626.92999999999995</v>
      </c>
      <c r="J31" s="109">
        <v>666.81</v>
      </c>
      <c r="K31" s="111">
        <f t="shared" si="6"/>
        <v>1.0636115674796229</v>
      </c>
      <c r="L31" s="107" t="s">
        <v>116</v>
      </c>
      <c r="M31" s="112">
        <v>30</v>
      </c>
      <c r="N31" s="113">
        <v>22</v>
      </c>
      <c r="O31" s="114">
        <f t="shared" si="7"/>
        <v>0.73333333333333328</v>
      </c>
      <c r="P31" s="113">
        <v>351.71</v>
      </c>
      <c r="Q31" s="113">
        <v>127.38</v>
      </c>
      <c r="R31" s="115">
        <f t="shared" si="1"/>
        <v>0.36217338147905948</v>
      </c>
      <c r="S31" s="107" t="s">
        <v>116</v>
      </c>
      <c r="T31" s="112">
        <v>30</v>
      </c>
      <c r="U31" s="113">
        <v>34</v>
      </c>
      <c r="V31" s="114">
        <f>+U31/T31</f>
        <v>1.1333333333333333</v>
      </c>
      <c r="W31" s="113">
        <v>135.1</v>
      </c>
      <c r="X31" s="113">
        <v>105.4</v>
      </c>
      <c r="Y31" s="115">
        <f t="shared" si="3"/>
        <v>0.78016284233900823</v>
      </c>
      <c r="Z31" s="107" t="s">
        <v>116</v>
      </c>
      <c r="AA31" s="112">
        <v>30</v>
      </c>
      <c r="AB31" s="113" t="s">
        <v>117</v>
      </c>
      <c r="AC31" s="116">
        <v>0.63</v>
      </c>
      <c r="AD31" s="117">
        <v>110.93</v>
      </c>
      <c r="AE31" s="117">
        <v>20.04</v>
      </c>
      <c r="AF31" s="118">
        <v>0.18065446678085278</v>
      </c>
      <c r="AG31" s="98">
        <f>AVERAGE(H31,O31,V31,AC31)</f>
        <v>0.80749999999999988</v>
      </c>
      <c r="AH31" s="163">
        <f t="shared" si="5"/>
        <v>0.73531593043256349</v>
      </c>
      <c r="AI31" s="65"/>
    </row>
    <row r="32" spans="1:36" ht="33" customHeight="1" x14ac:dyDescent="0.25">
      <c r="B32" s="65" t="s">
        <v>118</v>
      </c>
      <c r="C32" s="65"/>
      <c r="D32" s="65"/>
      <c r="E32" s="119"/>
      <c r="F32" s="65"/>
      <c r="G32" s="65"/>
      <c r="H32" s="65"/>
      <c r="I32" s="65"/>
      <c r="J32" s="65"/>
      <c r="K32" s="65"/>
      <c r="L32" s="119"/>
      <c r="M32" s="65"/>
      <c r="N32" s="65"/>
      <c r="O32" s="65"/>
      <c r="P32" s="65"/>
      <c r="Q32" s="65"/>
      <c r="R32" s="65"/>
      <c r="S32" s="119"/>
      <c r="T32" s="65"/>
      <c r="U32" s="65"/>
      <c r="V32" s="65"/>
      <c r="W32" s="65"/>
      <c r="X32" s="65"/>
      <c r="Y32" s="65"/>
      <c r="Z32" s="119"/>
      <c r="AA32" s="120"/>
      <c r="AB32" s="120"/>
      <c r="AC32" s="120"/>
      <c r="AD32" s="120"/>
      <c r="AE32" s="120"/>
      <c r="AF32" s="120"/>
      <c r="AG32" s="65"/>
      <c r="AH32" s="65"/>
      <c r="AI32" s="65"/>
    </row>
    <row r="33" spans="23:32" x14ac:dyDescent="0.25">
      <c r="W33" s="45">
        <f>SUM(W10:W31)</f>
        <v>5055.24</v>
      </c>
      <c r="X33" s="45">
        <f>SUM(X10:X31)</f>
        <v>3367.2200000000003</v>
      </c>
      <c r="AA33" s="120"/>
      <c r="AB33" s="120"/>
      <c r="AC33" s="120"/>
      <c r="AD33" s="120"/>
      <c r="AE33" s="120"/>
      <c r="AF33" s="120"/>
    </row>
    <row r="34" spans="23:32" ht="16.5" thickBot="1" x14ac:dyDescent="0.3">
      <c r="W34" s="45"/>
      <c r="X34" s="46"/>
      <c r="AA34" s="121"/>
      <c r="AB34" s="121"/>
      <c r="AC34" s="121"/>
      <c r="AD34" s="121"/>
      <c r="AE34" s="121"/>
      <c r="AF34" s="121"/>
    </row>
    <row r="35" spans="23:32" x14ac:dyDescent="0.25">
      <c r="AA35" s="122"/>
      <c r="AB35" s="122"/>
      <c r="AC35" s="122"/>
      <c r="AD35" s="122"/>
      <c r="AE35" s="122"/>
      <c r="AF35" s="122"/>
    </row>
  </sheetData>
  <autoFilter ref="B9:AH32" xr:uid="{00000000-0009-0000-0000-000000000000}"/>
  <dataConsolidate/>
  <mergeCells count="38">
    <mergeCell ref="S8:S9"/>
    <mergeCell ref="S10:S11"/>
    <mergeCell ref="S20:S21"/>
    <mergeCell ref="L8:L9"/>
    <mergeCell ref="L10:L11"/>
    <mergeCell ref="L20:L21"/>
    <mergeCell ref="AH20:AH21"/>
    <mergeCell ref="AH10:AH11"/>
    <mergeCell ref="D20:D21"/>
    <mergeCell ref="B20:B21"/>
    <mergeCell ref="AG10:AG11"/>
    <mergeCell ref="E10:E11"/>
    <mergeCell ref="Z10:Z11"/>
    <mergeCell ref="Z20:Z21"/>
    <mergeCell ref="E20:E21"/>
    <mergeCell ref="B1:AH1"/>
    <mergeCell ref="B2:AH2"/>
    <mergeCell ref="AG7:AH7"/>
    <mergeCell ref="Z7:AF7"/>
    <mergeCell ref="L7:R7"/>
    <mergeCell ref="S7:Y7"/>
    <mergeCell ref="E7:K7"/>
    <mergeCell ref="AG8:AH8"/>
    <mergeCell ref="A4:AH4"/>
    <mergeCell ref="A3:AH3"/>
    <mergeCell ref="A10:A11"/>
    <mergeCell ref="D10:D11"/>
    <mergeCell ref="B10:B11"/>
    <mergeCell ref="AA8:AC8"/>
    <mergeCell ref="AD8:AF8"/>
    <mergeCell ref="T8:V8"/>
    <mergeCell ref="M8:O8"/>
    <mergeCell ref="F8:H8"/>
    <mergeCell ref="I8:J8"/>
    <mergeCell ref="W8:Y8"/>
    <mergeCell ref="P8:R8"/>
    <mergeCell ref="Z8:Z9"/>
    <mergeCell ref="E8:E9"/>
  </mergeCells>
  <pageMargins left="0.19685039370078741" right="0.70866141732283472" top="0.74803149606299213" bottom="0.74803149606299213" header="0.31496062992125984" footer="0.31496062992125984"/>
  <pageSetup paperSize="5" scale="65" orientation="landscape" r:id="rId1"/>
  <headerFooter>
    <oddHeader>&amp;CINAMU INFORME DE PERÍODO 2015-2017</oddHeader>
    <oddFooter>&amp;C&amp;P de &amp;N</oddFooter>
  </headerFooter>
  <rowBreaks count="1" manualBreakCount="1">
    <brk id="21"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4</vt:i4>
      </vt:variant>
    </vt:vector>
  </HeadingPairs>
  <TitlesOfParts>
    <vt:vector size="23" baseType="lpstr">
      <vt:lpstr>COMPARATIVO PROG. ADM.</vt:lpstr>
      <vt:lpstr>SÍNTESIS ESTRATÉGICA 2019-2030 </vt:lpstr>
      <vt:lpstr>AUNTONOMÍA ECONÓMICA</vt:lpstr>
      <vt:lpstr>SERV-PUB PROT DDHH</vt:lpstr>
      <vt:lpstr>LIDERAZGO PARTIC POL</vt:lpstr>
      <vt:lpstr>CORRESPONSAB-SSSR</vt:lpstr>
      <vt:lpstr>GENERAC CONCOC.</vt:lpstr>
      <vt:lpstr>VcM</vt:lpstr>
      <vt:lpstr>COMPARATIVO PROG. TECNICO</vt:lpstr>
      <vt:lpstr>INAMU-MEC RECTOR</vt:lpstr>
      <vt:lpstr>COMPRAS Y SIMPLIFICACIÓN TRÁM</vt:lpstr>
      <vt:lpstr>PLANIFICACIÓN</vt:lpstr>
      <vt:lpstr>PROTOCOLO ATENCIÓN</vt:lpstr>
      <vt:lpstr>FOMUJER</vt:lpstr>
      <vt:lpstr>RECURSOS HUMANOS</vt:lpstr>
      <vt:lpstr>TI</vt:lpstr>
      <vt:lpstr>INFRAESTRUCTURA</vt:lpstr>
      <vt:lpstr>FINANCIERO CONTABLE</vt:lpstr>
      <vt:lpstr>SINTESIS ESTRATÉGICA 2019-2030</vt:lpstr>
      <vt:lpstr>'COMPARATIVO PROG. TECNICO'!Área_de_impresión</vt:lpstr>
      <vt:lpstr>'SÍNTESIS ESTRATÉGICA 2019-2030 '!Área_de_impresión</vt:lpstr>
      <vt:lpstr>'COMPARATIVO PROG. TECNICO'!Títulos_a_imprimir</vt:lpstr>
      <vt:lpstr>'SÍNTESIS ESTRATÉGICA 2019-2030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Victoria Naranjo</dc:creator>
  <cp:keywords/>
  <dc:description/>
  <cp:lastModifiedBy>Rosaura Bonilla Lara</cp:lastModifiedBy>
  <cp:revision/>
  <dcterms:created xsi:type="dcterms:W3CDTF">2017-01-30T19:56:27Z</dcterms:created>
  <dcterms:modified xsi:type="dcterms:W3CDTF">2019-02-19T23:40:26Z</dcterms:modified>
  <cp:category/>
  <cp:contentStatus/>
</cp:coreProperties>
</file>